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bin" ContentType="application/vnd.openxmlformats-officedocument.spreadsheetml.printerSettings"/>
  <Override PartName="/xl/worksheets/sheet1.xml" ContentType="application/vnd.openxmlformats-officedocument.spreadsheetml.worksheet+xml"/>
  <Override PartName="/xl/charts/chart1.xml" ContentType="application/vnd.openxmlformats-officedocument.drawingml.chart+xml"/>
  <Override PartName="/xl/charts/chart2.xml" ContentType="application/vnd.openxmlformats-officedocument.drawingml.chart+xml"/>
  <Override PartName="/xl/drawings/drawing1.xml" ContentType="application/vnd.openxmlformats-officedocument.drawing+xml"/>
  <Override PartName="/xl/worksheets/sheet2.xml" ContentType="application/vnd.openxmlformats-officedocument.spreadsheetml.worksheet+xml"/>
  <Override PartName="/xl/charts/chart3.xml" ContentType="application/vnd.openxmlformats-officedocument.drawingml.chart+xml"/>
  <Override PartName="/xl/charts/style3.xml" ContentType="application/vnd.ms-office.chartstyle+xml"/>
  <Override PartName="/xl/charts/color3.xml" ContentType="application/vnd.ms-office.chartcolorstyle+xml"/>
  <Override PartName="/xl/charts/chart4.xml" ContentType="application/vnd.openxmlformats-officedocument.drawingml.chart+xml"/>
  <Override PartName="/xl/charts/style4.xml" ContentType="application/vnd.ms-office.chartstyle+xml"/>
  <Override PartName="/xl/charts/color4.xml" ContentType="application/vnd.ms-office.chartcolorstyle+xml"/>
  <Override PartName="/xl/drawings/drawing2.xml" ContentType="application/vnd.openxmlformats-officedocument.drawing+xml"/>
  <Override PartName="/xl/worksheets/sheet3.xml" ContentType="application/vnd.openxmlformats-officedocument.spreadsheetml.workshee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x15="http://schemas.microsoft.com/office/spreadsheetml/2010/11/main" xmlns:mc="http://schemas.openxmlformats.org/markup-compatibility/2006" xmlns:xr2="http://schemas.microsoft.com/office/spreadsheetml/2015/revision2" xmlns:xr6="http://schemas.microsoft.com/office/spreadsheetml/2016/revision6" xmlns:xr="http://schemas.microsoft.com/office/spreadsheetml/2014/revision" xmlns:xr10="http://schemas.microsoft.com/office/spreadsheetml/2016/revision10"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C:\Users\kmurph69\Downloads\"/>
    </mc:Choice>
  </mc:AlternateContent>
  <bookViews>
    <workbookView xWindow="-108" yWindow="-108" windowWidth="23256" windowHeight="13896" activeTab="2"/>
  </bookViews>
  <sheets>
    <sheet name="Instructions " sheetId="8" r:id="rId2"/>
    <sheet name="Method Comparison 20 Samples" sheetId="5" r:id="rId3"/>
    <sheet name="Method Comparison 40 Samples" sheetId="7" r:id="rId4"/>
    <sheet name="Alt Method Comparison" sheetId="1" state="hidden" r:id="rId5"/>
  </sheets>
  <definedNames>
    <definedName name="CMTable">#REF!</definedName>
    <definedName name="_xlnm.Print_Area" localSheetId="3">'Alt Method Comparison'!$A$1:$Y$47</definedName>
    <definedName name="_xlnm.Print_Area" localSheetId="0">'Instructions '!$A$1:$U$47</definedName>
  </definedNames>
  <calcPr calcId="191029"/>
  <extLst/>
</workbook>
</file>

<file path=xl/calcChain.xml><?xml version="1.0" encoding="utf-8"?>
<calcChain xmlns="http://schemas.openxmlformats.org/spreadsheetml/2006/main">
  <c r="D38" i="5" l="1"/>
</calcChain>
</file>

<file path=xl/sharedStrings.xml><?xml version="1.0" encoding="utf-8"?>
<sst xmlns="http://schemas.openxmlformats.org/spreadsheetml/2006/main" count="97" uniqueCount="57">
  <si>
    <t>Spec#</t>
  </si>
  <si>
    <t>X</t>
  </si>
  <si>
    <t>Y</t>
  </si>
  <si>
    <t>∆</t>
  </si>
  <si>
    <t>Mean</t>
  </si>
  <si>
    <t>SD</t>
  </si>
  <si>
    <t>Alternate (Quantitative) Method Comparison</t>
  </si>
  <si>
    <t>Method being evaluated:</t>
  </si>
  <si>
    <t xml:space="preserve">Reference Method: </t>
  </si>
  <si>
    <t>Analyte:</t>
  </si>
  <si>
    <t>Units:</t>
  </si>
  <si>
    <t>Slope</t>
  </si>
  <si>
    <t>Intercept</t>
  </si>
  <si>
    <t>Regression Statistics</t>
  </si>
  <si>
    <t>Std Err Est</t>
  </si>
  <si>
    <t>((Y-X)-Bias)^2</t>
  </si>
  <si>
    <t>Bias</t>
  </si>
  <si>
    <t>Correl Coef (R):</t>
  </si>
  <si>
    <t>Bias:</t>
  </si>
  <si>
    <t>±</t>
  </si>
  <si>
    <t>Std Dev Diffs:</t>
  </si>
  <si>
    <r>
      <t xml:space="preserve">Y Mean </t>
    </r>
    <r>
      <rPr>
        <sz val="11"/>
        <color indexed="8"/>
        <rFont val="Calibri"/>
        <family val="2"/>
      </rPr>
      <t>± SD:</t>
    </r>
  </si>
  <si>
    <r>
      <t xml:space="preserve">X Mean </t>
    </r>
    <r>
      <rPr>
        <sz val="11"/>
        <color indexed="8"/>
        <rFont val="Calibri"/>
        <family val="2"/>
      </rPr>
      <t>± SD:</t>
    </r>
  </si>
  <si>
    <t>X Method</t>
  </si>
  <si>
    <t xml:space="preserve"> MDP</t>
  </si>
  <si>
    <t xml:space="preserve">Y Method </t>
  </si>
  <si>
    <t>Pred. MDP</t>
  </si>
  <si>
    <t>95% Conf. Limits</t>
  </si>
  <si>
    <t>Low</t>
  </si>
  <si>
    <t>High</t>
  </si>
  <si>
    <t>Grade</t>
  </si>
  <si>
    <t>Date:</t>
  </si>
  <si>
    <t>Conc.</t>
  </si>
  <si>
    <t>Pct.</t>
  </si>
  <si>
    <t>slope err</t>
  </si>
  <si>
    <t>Interc?</t>
  </si>
  <si>
    <t>Total Allowable Error (TEa):</t>
  </si>
  <si>
    <t>Δ</t>
  </si>
  <si>
    <t>Error Index</t>
  </si>
  <si>
    <t>Min</t>
  </si>
  <si>
    <t>Max</t>
  </si>
  <si>
    <t>High lmt</t>
  </si>
  <si>
    <t>Low lmt</t>
  </si>
  <si>
    <t>Correl. Coef. (R)</t>
  </si>
  <si>
    <t xml:space="preserve"> Quantitative Method Comparison</t>
  </si>
  <si>
    <t>Method being evaluated (Y):</t>
  </si>
  <si>
    <t xml:space="preserve">Reference Method (X): </t>
  </si>
  <si>
    <t>NOTICE: This document is an example only. It must be revised to reflect your lab’s specific processes and/or specific protocol requirements.</t>
  </si>
  <si>
    <t>Approved and current. Effective starting 12-Jun-2023. Last reviewed on 28-May-2025._x000d_
VAL 2002 (version 1.1). Quantitative Accuracy Pack. Page 3 of 3</t>
  </si>
  <si>
    <t>High Limit</t>
  </si>
  <si>
    <t>Low Limit</t>
  </si>
  <si>
    <t xml:space="preserve">Grade </t>
  </si>
  <si>
    <r>
      <rPr>
        <b/>
        <sz val="14"/>
        <color theme="1"/>
        <rFont val="Arial"/>
        <family val="2"/>
      </rPr>
      <t xml:space="preserve">Instructions: </t>
    </r>
    <r>
      <rPr>
        <sz val="11"/>
        <color theme="1"/>
        <rFont val="Arial"/>
        <family val="2"/>
      </rPr>
      <t xml:space="preserve">
</t>
    </r>
    <r>
      <rPr>
        <b/>
        <sz val="11"/>
        <color theme="1"/>
        <rFont val="Arial"/>
        <family val="2"/>
      </rPr>
      <t>Note:</t>
    </r>
    <r>
      <rPr>
        <sz val="11"/>
        <color theme="1"/>
        <rFont val="Arial"/>
        <family val="2"/>
      </rPr>
      <t xml:space="preserve"> The ideal number of samples is 40, however a minimum of 20 samples that cover the reportable range of the method and include points near the medical decision points, if possible, is acceptable.
</t>
    </r>
    <r>
      <rPr>
        <b/>
        <sz val="11"/>
        <color theme="1"/>
        <rFont val="Arial"/>
        <family val="2"/>
      </rPr>
      <t>Method Comparison:</t>
    </r>
    <r>
      <rPr>
        <sz val="11"/>
        <color theme="1"/>
        <rFont val="Arial"/>
        <family val="2"/>
      </rPr>
      <t xml:space="preserve">
1.   Plot the reference method on the X axis and the method being validated on the Y axis.
2.   Enter the Allowable Total Error (TEa) concentration and percent.  Refer to pSMILE Chemistry (EQA 1380a), Coagulation (EQA 1380b) or Hematology (EQA 1380c) TEa Limits table. 
3.   Enter the results for the reference (X) and the new (Y) methods.
4.   Evaluate the statistics.
5.  If R value is &lt;0.975, Data does not extend over acceptable range. More data must be evaluated over larger range.
6.   The correlation coefficient (R) must be &gt;0.975. 
7.   95% of the data points from the comparative method must be within Total    
Allowable Error limits of the reference method. This can be evaluated by calculating the "Error Index"
</t>
    </r>
    <r>
      <rPr>
        <b/>
        <sz val="11"/>
        <color theme="1"/>
        <rFont val="Arial"/>
        <family val="2"/>
      </rPr>
      <t xml:space="preserve">Error Index: </t>
    </r>
    <r>
      <rPr>
        <i/>
        <sz val="11"/>
        <color theme="1"/>
        <rFont val="Arial"/>
        <family val="2"/>
      </rPr>
      <t xml:space="preserve"> to measure the difference between the two methods as a ratio of the Total Allowable Error. </t>
    </r>
    <r>
      <rPr>
        <sz val="11"/>
        <color theme="1"/>
        <rFont val="Arial"/>
        <family val="2"/>
      </rPr>
      <t xml:space="preserve">
1.  Using the Method Comparison spreadsheet tab the Error Index can be calculated by subtracting the reference method data point (X) from the method being validated data point (Y) and dividing by the Total Allowable Error (TEa). The equation is: (Y-X)/TEa. 
2.  Use the percent TEa or the minimum detectable difference (absolute TEa), whichever is greater.
3.  The absolute TEa value is calculated by converting the TEa percentage to a decimal and multiplying by the reference method data point. 
4. The Error Index is measured for each X-Y pair, and must fall within -1 and 1. If more than 5% of the specimens have an Error Index of less than -1 or greater than 1, the accuracy experiment fails
5.  If 95% of Error Indices are acceptable, Accuracy is acceptable. Proceed with Linearity experiments.
</t>
    </r>
    <r>
      <rPr>
        <sz val="11"/>
        <color theme="1"/>
        <rFont val="Calibri"/>
        <family val="2"/>
        <scheme val="minor"/>
      </rPr>
      <t xml:space="preserve">
</t>
    </r>
  </si>
  <si>
    <t>Approved and current. Effective starting 29-May-2026. Last reviewed on 29-May-2026._x000d_
VAL 2002 (version 2.0). Quantitative Accuracy Pack. Page 1 of 4</t>
  </si>
  <si>
    <t>Approved and current. Effective starting 29-May-2026. Last reviewed on 29-May-2026._x000d_
VAL 2002 (version 2.0). Quantitative Accuracy Pack. Page 2 of 4</t>
  </si>
  <si>
    <t>Approved and current. Effective starting 29-May-2026. Last reviewed on 29-May-2026._x000d_
VAL 2002 (version 2.0). Quantitative Accuracy Pack. Page 3 of 4</t>
  </si>
  <si>
    <t>Approved and current. Effective starting 29-May-2026. Last reviewed on 29-May-2026._x000d_
VAL 2002 (version 2.0). Quantitative Accuracy Pack. Page 4 of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</si>
</sst>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35">
    <font>
      <sz val="11"/>
      <color theme="1"/>
      <name val="Calibri"/>
      <family val="2"/>
      <scheme val="minor"/>
    </font>
    <font>
      <sz val="10"/>
      <color theme="1"/>
      <name val="Arial"/>
      <family val="2"/>
    </font>
    <font>
      <sz val="11"/>
      <color indexed="8"/>
      <name val="Calibri"/>
      <family val="2"/>
    </font>
    <font>
      <sz val="11"/>
      <color indexed="9"/>
      <name val="Calibri"/>
      <family val="2"/>
    </font>
    <font>
      <b/>
      <sz val="11"/>
      <color indexed="8"/>
      <name val="Calibri"/>
      <family val="2"/>
    </font>
    <font>
      <sz val="11"/>
      <name val="Calibri"/>
      <family val="2"/>
    </font>
    <font>
      <b/>
      <sz val="11"/>
      <name val="Calibri"/>
      <family val="2"/>
    </font>
    <font>
      <b/>
      <sz val="20"/>
      <color indexed="8"/>
      <name val="Calibri"/>
      <family val="2"/>
    </font>
    <font>
      <sz val="11"/>
      <color theme="0"/>
      <name val="Calibri"/>
      <family val="2"/>
      <scheme val="minor"/>
    </font>
    <font>
      <sz val="11"/>
      <name val="Calibri"/>
      <family val="2"/>
      <scheme val="minor"/>
    </font>
    <font>
      <i/>
      <sz val="11"/>
      <color theme="1"/>
      <name val="Calibri"/>
      <family val="2"/>
      <scheme val="minor"/>
    </font>
    <font>
      <b/>
      <sz val="11"/>
      <color theme="1"/>
      <name val="Arial"/>
      <family val="2"/>
    </font>
    <font>
      <sz val="11"/>
      <color theme="1"/>
      <name val="Arial"/>
      <family val="2"/>
    </font>
    <font>
      <sz val="9"/>
      <color rgb="FF000000"/>
      <name val="Calibri"/>
      <family val="2"/>
      <scheme val="minor"/>
    </font>
    <font>
      <sz val="11"/>
      <color rgb="FFFF0000"/>
      <name val="Calibri"/>
      <family val="2"/>
      <scheme val="minor"/>
    </font>
    <font>
      <b/>
      <sz val="11"/>
      <color theme="1"/>
      <name val="Calibri"/>
      <family val="2"/>
      <scheme val="minor"/>
    </font>
    <font>
      <b/>
      <sz val="11"/>
      <color rgb="FFFF0000"/>
      <name val="Calibri"/>
      <family val="2"/>
      <scheme val="minor"/>
    </font>
    <font>
      <b/>
      <sz val="10"/>
      <color indexed="8"/>
      <name val="Calibri"/>
      <family val="2"/>
    </font>
    <font>
      <b/>
      <sz val="8"/>
      <color theme="1"/>
      <name val="Calibri"/>
      <family val="2"/>
      <scheme val="minor"/>
    </font>
    <font>
      <sz val="8"/>
      <color theme="1"/>
      <name val="Calibri"/>
      <family val="2"/>
      <scheme val="minor"/>
    </font>
    <font>
      <sz val="9"/>
      <color theme="1"/>
      <name val="Calibri"/>
      <family val="2"/>
      <scheme val="minor"/>
    </font>
    <font>
      <b/>
      <sz val="9"/>
      <color theme="1"/>
      <name val="Calibri"/>
      <family val="2"/>
      <scheme val="minor"/>
    </font>
    <font>
      <b/>
      <sz val="9"/>
      <name val="Calibri"/>
      <family val="2"/>
      <scheme val="minor"/>
    </font>
    <font>
      <sz val="9"/>
      <color theme="0"/>
      <name val="Calibri"/>
      <family val="2"/>
      <scheme val="minor"/>
    </font>
    <font>
      <b/>
      <sz val="9"/>
      <color rgb="FFFF0000"/>
      <name val="Calibri"/>
      <family val="2"/>
      <scheme val="minor"/>
    </font>
    <font>
      <sz val="10"/>
      <color theme="1"/>
      <name val="Calibri"/>
      <family val="2"/>
      <scheme val="minor"/>
    </font>
    <font>
      <b/>
      <sz val="14"/>
      <color theme="1"/>
      <name val="Arial"/>
      <family val="2"/>
    </font>
    <font>
      <i/>
      <sz val="11"/>
      <color theme="1"/>
      <name val="Arial"/>
      <family val="2"/>
    </font>
    <font>
      <sz val="10"/>
      <color rgb="FF000000"/>
      <name val="Calibri"/>
      <family val="2"/>
    </font>
    <font>
      <sz val="11"/>
      <color theme="1" tint="0.35"/>
      <name val="Calibri"/>
      <family val="2"/>
      <scheme val="minor"/>
    </font>
    <font>
      <b/>
      <sz val="6"/>
      <color rgb="FF000000"/>
      <name val="Arial"/>
      <family val="2"/>
    </font>
    <font>
      <sz val="5.75"/>
      <color rgb="FF000000"/>
      <name val="Arial"/>
      <family val="2"/>
    </font>
    <font>
      <sz val="5"/>
      <color rgb="FF000000"/>
      <name val="Arial"/>
      <family val="2"/>
    </font>
    <font>
      <sz val="5.25"/>
      <color rgb="FF000000"/>
      <name val="Arial"/>
      <family val="2"/>
    </font>
    <font>
      <b/>
      <sz val="9"/>
      <color rgb="FF000000"/>
      <name val="Arial"/>
      <family val="2"/>
    </font>
  </fonts>
  <fills count="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99"/>
        <bgColor indexed="64"/>
      </patternFill>
    </fill>
    <fill>
      <patternFill patternType="solid">
        <fgColor indexed="43"/>
        <bgColor indexed="64"/>
      </patternFill>
    </fill>
    <fill>
      <patternFill patternType="solid">
        <fgColor theme="0"/>
        <bgColor indexed="64"/>
      </patternFill>
    </fill>
    <fill>
      <patternFill patternType="solid">
        <fgColor theme="0" tint="-0.249939993023872"/>
        <bgColor indexed="64"/>
      </patternFill>
    </fill>
    <fill>
      <patternFill patternType="solid">
        <fgColor theme="0" tint="-0.149990007281303"/>
        <bgColor indexed="64"/>
      </patternFill>
    </fill>
  </fills>
  <borders count="21">
    <border>
      <left/>
      <right/>
      <top/>
      <bottom/>
      <diagonal/>
    </border>
    <border>
      <left/>
      <right/>
      <top style="thin">
        <color auto="1"/>
      </top>
      <bottom/>
    </border>
    <border>
      <left/>
      <right/>
      <top/>
      <bottom style="thin">
        <color auto="1"/>
      </bottom>
    </border>
    <border>
      <left/>
      <right/>
      <top style="thin">
        <color auto="1"/>
      </top>
      <bottom style="thin">
        <color auto="1"/>
      </bottom>
    </border>
    <border>
      <left/>
      <right style="thin">
        <color auto="1"/>
      </right>
      <top/>
      <bottom/>
    </border>
    <border>
      <left/>
      <right style="thin">
        <color auto="1"/>
      </right>
      <top/>
      <bottom style="thin">
        <color auto="1"/>
      </bottom>
    </border>
    <border>
      <left style="thin">
        <color auto="1"/>
      </left>
      <right/>
      <top style="thin">
        <color auto="1"/>
      </top>
      <bottom/>
    </border>
    <border>
      <left style="thin">
        <color auto="1"/>
      </left>
      <right/>
      <top/>
      <bottom/>
    </border>
    <border>
      <left style="thin">
        <color auto="1"/>
      </left>
      <right/>
      <top/>
      <bottom style="thin">
        <color auto="1"/>
      </bottom>
    </border>
    <border>
      <left/>
      <right style="thin">
        <color auto="1"/>
      </right>
      <top style="thin">
        <color auto="1"/>
      </top>
      <bottom/>
    </border>
    <border>
      <left/>
      <right/>
      <top/>
      <bottom style="double">
        <color auto="1"/>
      </bottom>
    </border>
    <border>
      <left style="thin">
        <color auto="1"/>
      </left>
      <right/>
      <top/>
      <bottom style="double">
        <color auto="1"/>
      </bottom>
    </border>
    <border>
      <left/>
      <right style="thin">
        <color auto="1"/>
      </right>
      <top/>
      <bottom style="double">
        <color auto="1"/>
      </bottom>
    </border>
    <border>
      <left style="thin">
        <color auto="1"/>
      </left>
      <right style="thin">
        <color auto="1"/>
      </right>
      <top style="thin">
        <color auto="1"/>
      </top>
      <bottom style="thin">
        <color auto="1"/>
      </bottom>
    </border>
    <border>
      <left style="thin">
        <color auto="1"/>
      </left>
      <right style="thin">
        <color auto="1"/>
      </right>
      <top/>
      <bottom style="thin">
        <color auto="1"/>
      </bottom>
    </border>
    <border>
      <left/>
      <right/>
      <top style="double">
        <color auto="1"/>
      </top>
      <bottom style="double">
        <color auto="1"/>
      </bottom>
    </border>
    <border>
      <left/>
      <right/>
      <top style="double">
        <color auto="1"/>
      </top>
      <bottom/>
    </border>
    <border>
      <left style="double">
        <color auto="1"/>
      </left>
      <right/>
      <top style="double">
        <color auto="1"/>
      </top>
      <bottom style="double">
        <color auto="1"/>
      </bottom>
    </border>
    <border>
      <left/>
      <right style="double">
        <color auto="1"/>
      </right>
      <top style="double">
        <color auto="1"/>
      </top>
      <bottom style="double">
        <color auto="1"/>
      </bottom>
    </border>
    <border>
      <left style="thin">
        <color auto="1"/>
      </left>
      <right/>
      <top style="thin">
        <color auto="1"/>
      </top>
      <bottom style="thin">
        <color auto="1"/>
      </bottom>
    </border>
    <border>
      <left/>
      <right style="thin">
        <color auto="1"/>
      </right>
      <top style="thin">
        <color auto="1"/>
      </top>
      <bottom style="thin">
        <color auto="1"/>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138">
    <xf numFmtId="0" fontId="0" fillId="0" borderId="0" xfId="0"/>
    <xf numFmtId="0" fontId="0" fillId="2" borderId="1" xfId="0" applyFill="1" applyBorder="1" applyAlignment="1">
      <alignment horizontal="center"/>
    </xf>
    <xf numFmtId="0" fontId="0" fillId="0" borderId="0" xfId="0" applyAlignment="1">
      <alignment horizontal="center"/>
    </xf>
    <xf numFmtId="0" fontId="0" fillId="0" borderId="0" xfId="0" applyAlignment="1">
      <alignment horizontal="right"/>
    </xf>
    <xf numFmtId="0" fontId="7" fillId="0" borderId="0" xfId="0" applyFont="1" applyAlignment="1">
      <alignment horizontal="center"/>
    </xf>
    <xf numFmtId="0" fontId="3" fillId="0" borderId="0" xfId="0" applyFont="1"/>
    <xf numFmtId="0" fontId="0" fillId="0" borderId="2" xfId="0" applyBorder="1"/>
    <xf numFmtId="0" fontId="0" fillId="0" borderId="3" xfId="0" applyBorder="1"/>
    <xf numFmtId="0" fontId="0" fillId="0" borderId="4" xfId="0" applyBorder="1"/>
    <xf numFmtId="0" fontId="0" fillId="0" borderId="5" xfId="0" applyBorder="1"/>
    <xf numFmtId="164" fontId="0" fillId="0" borderId="0" xfId="0" applyNumberFormat="1"/>
    <xf numFmtId="2" fontId="0" fillId="0" borderId="0" xfId="0" applyNumberFormat="1"/>
    <xf numFmtId="0" fontId="5" fillId="3" borderId="0" xfId="0" applyFont="1" applyFill="1"/>
    <xf numFmtId="0" fontId="6" fillId="3" borderId="0" xfId="0" applyFont="1" applyFill="1"/>
    <xf numFmtId="0" fontId="4" fillId="0" borderId="0" xfId="0" applyFont="1"/>
    <xf numFmtId="0" fontId="4" fillId="0" borderId="6" xfId="0" applyFont="1" applyBorder="1"/>
    <xf numFmtId="0" fontId="4" fillId="0" borderId="7" xfId="0" applyFont="1" applyBorder="1"/>
    <xf numFmtId="0" fontId="4" fillId="0" borderId="8" xfId="0" applyFont="1" applyBorder="1"/>
    <xf numFmtId="164" fontId="0" fillId="0" borderId="2" xfId="0" applyNumberFormat="1" applyBorder="1"/>
    <xf numFmtId="0" fontId="2" fillId="0" borderId="0" xfId="0" applyFont="1"/>
    <xf numFmtId="2" fontId="0" fillId="0" borderId="0" xfId="0" applyNumberFormat="1" applyAlignment="1">
      <alignment horizontal="left"/>
    </xf>
    <xf numFmtId="164" fontId="0" fillId="0" borderId="7" xfId="0" applyNumberFormat="1" applyBorder="1"/>
    <xf numFmtId="0" fontId="0" fillId="2" borderId="1" xfId="0" applyFill="1" applyBorder="1" applyAlignment="1">
      <alignment horizontal="center" wrapText="1"/>
    </xf>
    <xf numFmtId="0" fontId="0" fillId="2" borderId="6" xfId="0" applyFill="1" applyBorder="1" applyAlignment="1">
      <alignment horizontal="center"/>
    </xf>
    <xf numFmtId="0" fontId="0" fillId="2" borderId="9" xfId="0" applyFill="1" applyBorder="1" applyAlignment="1">
      <alignment horizontal="center"/>
    </xf>
    <xf numFmtId="0" fontId="3" fillId="0" borderId="0" xfId="0" applyFont="1" applyAlignment="1">
      <alignment horizontal="center"/>
    </xf>
    <xf numFmtId="165" fontId="0" fillId="0" borderId="0" xfId="0" applyNumberFormat="1"/>
    <xf numFmtId="0" fontId="9" fillId="0" borderId="0" xfId="0" applyFont="1"/>
    <xf numFmtId="0" fontId="8" fillId="0" borderId="0" xfId="0" applyFont="1"/>
    <xf numFmtId="0" fontId="0" fillId="0" borderId="10" xfId="0" applyBorder="1"/>
    <xf numFmtId="0" fontId="0" fillId="4" borderId="2" xfId="0" applyFill="1" applyBorder="1" applyProtection="1">
      <protection locked="0"/>
    </xf>
    <xf numFmtId="0" fontId="0" fillId="5" borderId="2" xfId="0" applyFill="1" applyBorder="1" applyProtection="1">
      <protection locked="0"/>
    </xf>
    <xf numFmtId="0" fontId="0" fillId="5" borderId="3" xfId="0" applyFill="1" applyBorder="1" applyProtection="1">
      <protection locked="0"/>
    </xf>
    <xf numFmtId="0" fontId="10" fillId="0" borderId="0" xfId="0" applyFont="1" applyAlignment="1">
      <alignment horizontal="centerContinuous"/>
    </xf>
    <xf numFmtId="0" fontId="10" fillId="0" borderId="0" xfId="0" applyFont="1" applyAlignment="1">
      <alignment horizontal="center"/>
    </xf>
    <xf numFmtId="165" fontId="0" fillId="0" borderId="9" xfId="0" applyNumberFormat="1" applyBorder="1" applyAlignment="1">
      <alignment horizontal="left"/>
    </xf>
    <xf numFmtId="165" fontId="0" fillId="0" borderId="4" xfId="0" applyNumberFormat="1" applyBorder="1" applyAlignment="1">
      <alignment horizontal="left"/>
    </xf>
    <xf numFmtId="2" fontId="0" fillId="0" borderId="0" xfId="0" applyNumberFormat="1" applyAlignment="1">
      <alignment horizontal="right"/>
    </xf>
    <xf numFmtId="2" fontId="0" fillId="0" borderId="0" xfId="0" applyNumberFormat="1" applyAlignment="1">
      <alignment horizontal="center"/>
    </xf>
    <xf numFmtId="0" fontId="8" fillId="6" borderId="7" xfId="0" applyFont="1" applyFill="1" applyBorder="1" applyAlignment="1">
      <alignment horizontal="center"/>
    </xf>
    <xf numFmtId="0" fontId="8" fillId="6" borderId="8" xfId="0" applyFont="1" applyFill="1" applyBorder="1" applyAlignment="1">
      <alignment horizontal="center"/>
    </xf>
    <xf numFmtId="2" fontId="0" fillId="0" borderId="2" xfId="0" applyNumberFormat="1" applyBorder="1" applyAlignment="1">
      <alignment horizontal="center"/>
    </xf>
    <xf numFmtId="2" fontId="0" fillId="0" borderId="2" xfId="0" applyNumberFormat="1" applyBorder="1" applyAlignment="1">
      <alignment horizontal="right"/>
    </xf>
    <xf numFmtId="2" fontId="0" fillId="0" borderId="2" xfId="0" applyNumberFormat="1" applyBorder="1" applyAlignment="1">
      <alignment horizontal="left"/>
    </xf>
    <xf numFmtId="0" fontId="0" fillId="4" borderId="3" xfId="0" applyFill="1" applyBorder="1" applyAlignment="1" applyProtection="1">
      <alignment horizontal="center"/>
      <protection locked="0"/>
    </xf>
    <xf numFmtId="0" fontId="0" fillId="6" borderId="3" xfId="0" applyFill="1" applyBorder="1"/>
    <xf numFmtId="0" fontId="0" fillId="6" borderId="0" xfId="0" applyFill="1"/>
    <xf numFmtId="0" fontId="0" fillId="6" borderId="10" xfId="0" applyFill="1" applyBorder="1"/>
    <xf numFmtId="0" fontId="0" fillId="7" borderId="0" xfId="0" applyFill="1"/>
    <xf numFmtId="0" fontId="0" fillId="7" borderId="10" xfId="0" applyFill="1" applyBorder="1"/>
    <xf numFmtId="0" fontId="0" fillId="7" borderId="10" xfId="0" applyFill="1" applyBorder="1" applyAlignment="1">
      <alignment horizontal="center"/>
    </xf>
    <xf numFmtId="0" fontId="2" fillId="7" borderId="10" xfId="0" applyFont="1" applyFill="1" applyBorder="1" applyAlignment="1">
      <alignment horizontal="center"/>
    </xf>
    <xf numFmtId="0" fontId="0" fillId="6" borderId="2" xfId="0" applyFill="1" applyBorder="1"/>
    <xf numFmtId="0" fontId="0" fillId="2" borderId="11" xfId="0" applyFill="1" applyBorder="1" applyAlignment="1">
      <alignment horizontal="center"/>
    </xf>
    <xf numFmtId="0" fontId="0" fillId="2" borderId="10" xfId="0" applyFill="1" applyBorder="1" applyAlignment="1">
      <alignment horizontal="center"/>
    </xf>
    <xf numFmtId="0" fontId="0" fillId="2" borderId="10" xfId="0" applyFill="1" applyBorder="1" applyAlignment="1">
      <alignment horizontal="right"/>
    </xf>
    <xf numFmtId="0" fontId="0" fillId="2" borderId="10" xfId="0" applyFill="1" applyBorder="1"/>
    <xf numFmtId="0" fontId="0" fillId="2" borderId="12" xfId="0" applyFill="1" applyBorder="1"/>
    <xf numFmtId="0" fontId="9" fillId="0" borderId="0" xfId="0" applyFont="1" applyAlignment="1">
      <alignment wrapText="1"/>
    </xf>
    <xf numFmtId="0" fontId="0" fillId="4" borderId="3" xfId="0" applyFill="1" applyBorder="1" applyProtection="1">
      <protection locked="0"/>
    </xf>
    <xf numFmtId="0" fontId="13" fillId="0" borderId="0" xfId="0" applyFont="1" applyAlignment="1">
      <alignment horizontal="left"/>
    </xf>
    <xf numFmtId="0" fontId="0" fillId="5" borderId="13" xfId="0" applyFill="1" applyBorder="1" applyProtection="1">
      <protection locked="0"/>
    </xf>
    <xf numFmtId="0" fontId="0" fillId="0" borderId="0" xfId="0" applyAlignment="1">
      <alignment horizontal="center" vertical="center"/>
    </xf>
    <xf numFmtId="164" fontId="0" fillId="0" borderId="0" xfId="0" applyNumberFormat="1" applyAlignment="1">
      <alignment horizontal="center" vertical="center"/>
    </xf>
    <xf numFmtId="0" fontId="15" fillId="0" borderId="0" xfId="0" applyFont="1" applyAlignment="1">
      <alignment horizontal="right"/>
    </xf>
    <xf numFmtId="0" fontId="15" fillId="0" borderId="0" xfId="0" applyFont="1"/>
    <xf numFmtId="0" fontId="0" fillId="7" borderId="13" xfId="0" applyFill="1" applyBorder="1" applyAlignment="1">
      <alignment horizontal="center" vertical="center"/>
    </xf>
    <xf numFmtId="0" fontId="8" fillId="0" borderId="0" xfId="0" applyFont="1" applyAlignment="1">
      <alignment horizontal="center"/>
    </xf>
    <xf numFmtId="0" fontId="8" fillId="6" borderId="0" xfId="0" applyFont="1" applyFill="1" applyAlignment="1">
      <alignment horizontal="center"/>
    </xf>
    <xf numFmtId="0" fontId="8" fillId="6" borderId="0" xfId="0" applyFont="1" applyFill="1"/>
    <xf numFmtId="0" fontId="0" fillId="7" borderId="14" xfId="0" applyFill="1" applyBorder="1" applyAlignment="1">
      <alignment horizontal="center" vertical="center"/>
    </xf>
    <xf numFmtId="0" fontId="9" fillId="7" borderId="15" xfId="0" applyFont="1" applyFill="1" applyBorder="1" applyAlignment="1">
      <alignment horizontal="center"/>
    </xf>
    <xf numFmtId="0" fontId="9" fillId="7" borderId="0" xfId="0" applyFont="1" applyFill="1" applyAlignment="1">
      <alignment horizontal="center"/>
    </xf>
    <xf numFmtId="0" fontId="0" fillId="0" borderId="13" xfId="0" applyBorder="1" applyAlignment="1">
      <alignment horizontal="center" vertical="center"/>
    </xf>
    <xf numFmtId="2" fontId="0" fillId="0" borderId="13" xfId="0" applyNumberFormat="1" applyBorder="1" applyAlignment="1">
      <alignment horizontal="center" vertical="center"/>
    </xf>
    <xf numFmtId="0" fontId="15" fillId="7" borderId="13" xfId="0" applyFont="1" applyFill="1" applyBorder="1" applyAlignment="1">
      <alignment horizontal="center" vertical="center"/>
    </xf>
    <xf numFmtId="0" fontId="16" fillId="0" borderId="0" xfId="0" applyFont="1"/>
    <xf numFmtId="0" fontId="17" fillId="0" borderId="0" xfId="0" applyFont="1" applyAlignment="1">
      <alignment horizontal="center"/>
    </xf>
    <xf numFmtId="0" fontId="18" fillId="0" borderId="0" xfId="0" applyFont="1" applyAlignment="1">
      <alignment horizontal="right"/>
    </xf>
    <xf numFmtId="0" fontId="18" fillId="4" borderId="2" xfId="0" applyFont="1" applyFill="1" applyBorder="1" applyProtection="1">
      <protection locked="0"/>
    </xf>
    <xf numFmtId="0" fontId="18" fillId="0" borderId="0" xfId="0" applyFont="1" applyProtection="1">
      <protection locked="0"/>
    </xf>
    <xf numFmtId="14" fontId="18" fillId="4" borderId="2" xfId="0" applyNumberFormat="1" applyFont="1" applyFill="1" applyBorder="1" applyProtection="1">
      <protection locked="0"/>
    </xf>
    <xf numFmtId="0" fontId="19" fillId="0" borderId="0" xfId="0" applyFont="1" applyProtection="1">
      <protection locked="0"/>
    </xf>
    <xf numFmtId="0" fontId="18" fillId="4" borderId="3" xfId="0" applyFont="1" applyFill="1" applyBorder="1" applyProtection="1">
      <protection locked="0"/>
    </xf>
    <xf numFmtId="0" fontId="18" fillId="0" borderId="0" xfId="0" applyFont="1"/>
    <xf numFmtId="0" fontId="18" fillId="4" borderId="3" xfId="0" applyFont="1" applyFill="1" applyBorder="1" applyAlignment="1" applyProtection="1">
      <alignment horizontal="center"/>
      <protection locked="0"/>
    </xf>
    <xf numFmtId="0" fontId="18" fillId="0" borderId="3" xfId="0" applyFont="1" applyBorder="1" applyProtection="1">
      <protection locked="0"/>
    </xf>
    <xf numFmtId="0" fontId="20" fillId="0" borderId="0" xfId="0" applyFont="1"/>
    <xf numFmtId="0" fontId="21" fillId="0" borderId="0" xfId="0" applyFont="1"/>
    <xf numFmtId="0" fontId="19" fillId="0" borderId="0" xfId="0" applyFont="1"/>
    <xf numFmtId="0" fontId="22" fillId="7" borderId="15" xfId="0" applyFont="1" applyFill="1" applyBorder="1" applyAlignment="1">
      <alignment horizontal="center" vertical="top"/>
    </xf>
    <xf numFmtId="0" fontId="22" fillId="7" borderId="10" xfId="0" applyFont="1" applyFill="1" applyBorder="1" applyAlignment="1">
      <alignment horizontal="center"/>
    </xf>
    <xf numFmtId="0" fontId="23" fillId="6" borderId="0" xfId="0" applyFont="1" applyFill="1" applyAlignment="1">
      <alignment horizontal="center"/>
    </xf>
    <xf numFmtId="0" fontId="20" fillId="7" borderId="14" xfId="0" applyFont="1" applyFill="1" applyBorder="1" applyAlignment="1">
      <alignment horizontal="center" vertical="top"/>
    </xf>
    <xf numFmtId="0" fontId="20" fillId="5" borderId="13" xfId="0" applyFont="1" applyFill="1" applyBorder="1" applyAlignment="1" applyProtection="1">
      <alignment horizontal="center" vertical="center"/>
      <protection locked="0"/>
    </xf>
    <xf numFmtId="0" fontId="20" fillId="0" borderId="14" xfId="0" applyFont="1" applyBorder="1" applyAlignment="1">
      <alignment horizontal="center" vertical="center"/>
    </xf>
    <xf numFmtId="2" fontId="20" fillId="0" borderId="14" xfId="0" applyNumberFormat="1" applyFont="1" applyBorder="1" applyAlignment="1">
      <alignment horizontal="center" vertical="center"/>
    </xf>
    <xf numFmtId="0" fontId="23" fillId="0" borderId="0" xfId="0" applyFont="1"/>
    <xf numFmtId="0" fontId="23" fillId="6" borderId="0" xfId="0" applyFont="1" applyFill="1"/>
    <xf numFmtId="0" fontId="0" fillId="0" borderId="0" xfId="0" applyProtection="1">
      <protection locked="0"/>
    </xf>
    <xf numFmtId="0" fontId="20" fillId="7" borderId="13" xfId="0" applyFont="1" applyFill="1" applyBorder="1" applyAlignment="1">
      <alignment horizontal="center" vertical="top"/>
    </xf>
    <xf numFmtId="0" fontId="20" fillId="0" borderId="13" xfId="0" applyFont="1" applyBorder="1" applyAlignment="1">
      <alignment horizontal="center" vertical="center"/>
    </xf>
    <xf numFmtId="2" fontId="20" fillId="0" borderId="13" xfId="0" applyNumberFormat="1" applyFont="1" applyBorder="1" applyAlignment="1">
      <alignment horizontal="center" vertical="center"/>
    </xf>
    <xf numFmtId="0" fontId="21" fillId="7" borderId="13" xfId="0" applyFont="1" applyFill="1" applyBorder="1"/>
    <xf numFmtId="0" fontId="20" fillId="8" borderId="13" xfId="0" applyFont="1" applyFill="1" applyBorder="1" applyAlignment="1">
      <alignment horizontal="center" vertical="center"/>
    </xf>
    <xf numFmtId="2" fontId="20" fillId="8" borderId="13" xfId="0" applyNumberFormat="1" applyFont="1" applyFill="1" applyBorder="1" applyAlignment="1">
      <alignment horizontal="center" vertical="center"/>
    </xf>
    <xf numFmtId="164" fontId="20" fillId="0" borderId="0" xfId="0" applyNumberFormat="1" applyFont="1"/>
    <xf numFmtId="0" fontId="25" fillId="0" borderId="0" xfId="0" applyFont="1"/>
    <xf numFmtId="164" fontId="19" fillId="0" borderId="0" xfId="0" applyNumberFormat="1" applyFont="1"/>
    <xf numFmtId="0" fontId="9" fillId="7" borderId="16" xfId="0" applyFont="1" applyFill="1" applyBorder="1" applyAlignment="1">
      <alignment horizontal="center"/>
    </xf>
    <xf numFmtId="0" fontId="0" fillId="0" borderId="14" xfId="0" applyBorder="1" applyAlignment="1">
      <alignment horizontal="center" vertical="center"/>
    </xf>
    <xf numFmtId="0" fontId="0" fillId="0" borderId="0" xfId="0" applyAlignment="1">
      <alignment horizontal="left" vertical="top" wrapText="1"/>
    </xf>
    <xf numFmtId="0" fontId="0" fillId="0" borderId="0" xfId="0" applyAlignment="1">
      <alignment horizontal="left" vertical="top"/>
    </xf>
    <xf numFmtId="0" fontId="7" fillId="0" borderId="0" xfId="0" applyFont="1" applyAlignment="1">
      <alignment horizontal="center"/>
    </xf>
    <xf numFmtId="0" fontId="15" fillId="0" borderId="0" xfId="0" applyFont="1" applyAlignment="1">
      <alignment horizontal="right"/>
    </xf>
    <xf numFmtId="0" fontId="0" fillId="0" borderId="17" xfId="0" applyBorder="1" applyAlignment="1">
      <alignment horizontal="center"/>
    </xf>
    <xf numFmtId="0" fontId="0" fillId="0" borderId="15" xfId="0" applyBorder="1" applyAlignment="1">
      <alignment horizontal="center"/>
    </xf>
    <xf numFmtId="0" fontId="0" fillId="0" borderId="18" xfId="0" applyBorder="1" applyAlignment="1">
      <alignment horizontal="center"/>
    </xf>
    <xf numFmtId="0" fontId="0" fillId="0" borderId="0" xfId="0" applyAlignment="1">
      <alignment horizontal="center"/>
    </xf>
    <xf numFmtId="0" fontId="9" fillId="0" borderId="0" xfId="0" applyFont="1" applyAlignment="1">
      <alignment horizontal="left" vertical="top" wrapText="1"/>
    </xf>
    <xf numFmtId="0" fontId="15" fillId="7" borderId="0" xfId="0" applyFont="1" applyFill="1" applyAlignment="1">
      <alignment horizontal="center" vertical="center"/>
    </xf>
    <xf numFmtId="0" fontId="14" fillId="0" borderId="0" xfId="0" applyFont="1" applyAlignment="1">
      <alignment horizontal="left" vertical="center" wrapText="1"/>
    </xf>
    <xf numFmtId="0" fontId="21" fillId="7" borderId="0" xfId="0" applyFont="1" applyFill="1" applyAlignment="1">
      <alignment horizontal="right"/>
    </xf>
    <xf numFmtId="0" fontId="18" fillId="7" borderId="0" xfId="0" applyFont="1" applyFill="1" applyAlignment="1">
      <alignment horizontal="right"/>
    </xf>
    <xf numFmtId="0" fontId="4" fillId="0" borderId="0" xfId="0" applyFont="1" applyAlignment="1">
      <alignment horizontal="center"/>
    </xf>
    <xf numFmtId="0" fontId="18" fillId="0" borderId="0" xfId="0" applyFont="1" applyAlignment="1">
      <alignment horizontal="right"/>
    </xf>
    <xf numFmtId="0" fontId="20" fillId="0" borderId="17" xfId="0" applyFont="1" applyBorder="1" applyAlignment="1" applyProtection="1">
      <alignment horizontal="center"/>
      <protection hidden="1"/>
    </xf>
    <xf numFmtId="0" fontId="20" fillId="0" borderId="15" xfId="0" applyFont="1" applyBorder="1" applyAlignment="1" applyProtection="1">
      <alignment horizontal="center"/>
      <protection hidden="1"/>
    </xf>
    <xf numFmtId="0" fontId="20" fillId="0" borderId="18" xfId="0" applyFont="1" applyBorder="1" applyAlignment="1" applyProtection="1">
      <alignment horizontal="center"/>
      <protection hidden="1"/>
    </xf>
    <xf numFmtId="0" fontId="24" fillId="0" borderId="7" xfId="0" applyFont="1" applyBorder="1" applyAlignment="1">
      <alignment horizontal="left" vertical="top" wrapText="1"/>
    </xf>
    <xf numFmtId="0" fontId="24" fillId="0" borderId="0" xfId="0" applyFont="1" applyAlignment="1">
      <alignment horizontal="left" vertical="top" wrapText="1"/>
    </xf>
    <xf numFmtId="0" fontId="0" fillId="6" borderId="2" xfId="0" applyFill="1" applyBorder="1" applyAlignment="1">
      <alignment horizontal="center"/>
    </xf>
    <xf numFmtId="0" fontId="0" fillId="0" borderId="0" xfId="0" applyAlignment="1">
      <alignment horizontal="right"/>
    </xf>
    <xf numFmtId="0" fontId="6" fillId="2" borderId="19" xfId="0" applyFont="1" applyFill="1" applyBorder="1" applyAlignment="1">
      <alignment horizontal="center"/>
    </xf>
    <xf numFmtId="0" fontId="6" fillId="2" borderId="3" xfId="0" applyFont="1" applyFill="1" applyBorder="1" applyAlignment="1">
      <alignment horizontal="center"/>
    </xf>
    <xf numFmtId="0" fontId="6" fillId="2" borderId="20" xfId="0" applyFont="1" applyFill="1" applyBorder="1" applyAlignment="1">
      <alignment horizontal="center"/>
    </xf>
    <xf numFmtId="0" fontId="0" fillId="6" borderId="3" xfId="0" applyFill="1" applyBorder="1" applyAlignment="1">
      <alignment horizontal="center"/>
    </xf>
    <xf numFmtId="0" fontId="0" fillId="2" borderId="1" xfId="0" applyFill="1" applyBorder="1" applyAlignment="1">
      <alignment horizontal="center"/>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5">
    <dxf>
      <font>
        <b/>
        <i val="0"/>
        <color rgb="FF00B050"/>
      </font>
    </dxf>
    <dxf>
      <font>
        <b/>
        <i val="0"/>
        <color rgb="FFFF0000"/>
      </font>
    </dxf>
    <dxf>
      <font>
        <color rgb="FF9C0006"/>
      </font>
      <fill>
        <patternFill>
          <bgColor rgb="FFFFC7CE"/>
        </patternFill>
      </fill>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66FF33"/>
        </patternFill>
      </fill>
    </dxf>
    <dxf>
      <font>
        <b/>
        <i val="0"/>
        <color rgb="FFFF0000"/>
      </font>
      <fill>
        <patternFill>
          <bgColor theme="5" tint="0.599929988384247"/>
        </patternFill>
      </fill>
    </dxf>
    <dxf>
      <font>
        <b/>
        <i val="0"/>
        <color rgb="FFFF0000"/>
      </font>
    </dxf>
    <dxf>
      <font>
        <color rgb="FF9C0006"/>
      </font>
      <fill>
        <patternFill>
          <bgColor rgb="FFFFC7CE"/>
        </patternFill>
      </fill>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66FF33"/>
        </patternFill>
      </fill>
    </dxf>
    <dxf>
      <font>
        <b/>
        <i val="0"/>
        <color rgb="FFFF0000"/>
      </font>
      <fill>
        <patternFill>
          <bgColor theme="5" tint="0.599929988384247"/>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1" Type="http://schemas.openxmlformats.org/officeDocument/2006/relationships/theme" Target="theme/theme1.xml" /><Relationship Id="rId8" Type="http://schemas.openxmlformats.org/officeDocument/2006/relationships/calcChain" Target="calcChain.xml" /><Relationship Id="rId6" Type="http://schemas.openxmlformats.org/officeDocument/2006/relationships/styles" Target="styles.xml" /><Relationship Id="rId7" Type="http://schemas.openxmlformats.org/officeDocument/2006/relationships/sharedStrings" Target="sharedStrings.xml" /><Relationship Id="rId5" Type="http://schemas.openxmlformats.org/officeDocument/2006/relationships/worksheet" Target="worksheets/sheet4.xml" /></Relationships>
</file>

<file path=xl/charts/_rels/chart3.xml.rels><?xml version="1.0" encoding="UTF-8" standalone="yes"?><Relationships xmlns="http://schemas.openxmlformats.org/package/2006/relationships"><Relationship Id="rId2" Type="http://schemas.microsoft.com/office/2011/relationships/chartColorStyle" Target="color3.xml" /><Relationship Id="rId1" Type="http://schemas.microsoft.com/office/2011/relationships/chartStyle" Target="style3.xml" /></Relationships>
</file>

<file path=xl/charts/_rels/chart4.xml.rels><?xml version="1.0" encoding="UTF-8" standalone="yes"?><Relationships xmlns="http://schemas.openxmlformats.org/package/2006/relationships"><Relationship Id="rId2" Type="http://schemas.microsoft.com/office/2011/relationships/chartColorStyle" Target="color4.xml" /><Relationship Id="rId1" Type="http://schemas.microsoft.com/office/2011/relationships/chartStyle" Target="style4.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u="none" baseline="0"/>
              <a:t>Scatter Plot</a:t>
            </a:r>
          </a:p>
        </c:rich>
      </c:tx>
      <c:layout>
        <c:manualLayout>
          <c:xMode val="edge"/>
          <c:yMode val="edge"/>
          <c:x val="0.4115"/>
          <c:y val="0.01925"/>
        </c:manualLayout>
      </c:layout>
      <c:overlay val="1"/>
      <c:spPr>
        <a:noFill/>
        <a:ln w="9525">
          <a:noFill/>
        </a:ln>
      </c:spPr>
    </c:title>
    <c:autoTitleDeleted val="0"/>
    <c:plotArea>
      <c:layout>
        <c:manualLayout>
          <c:layoutTarget val="inner"/>
          <c:xMode val="edge"/>
          <c:yMode val="edge"/>
          <c:x val="0.1305"/>
          <c:y val="0.0355"/>
          <c:w val="0.827"/>
          <c:h val="0.78"/>
        </c:manualLayout>
      </c:layout>
      <c:scatterChart>
        <c:scatterStyle val="lineMarker"/>
        <c:varyColors val="0"/>
        <c:ser>
          <c:idx val="0"/>
          <c:order val="0"/>
          <c:tx>
            <c:v>X-Y</c:v>
          </c:tx>
          <c:spPr>
            <a:ln w="28575">
              <a:noFill/>
            </a:ln>
          </c:spPr>
          <c:marker>
            <c:symbol val="circle"/>
            <c:size val="5"/>
            <c:spPr>
              <a:solidFill>
                <a:schemeClr val="tx1"/>
              </a:solidFill>
              <a:ln w="9525">
                <a:noFill/>
              </a:ln>
            </c:spPr>
          </c:marker>
          <c:dLbls>
            <c:numFmt formatCode="General" sourceLinked="1"/>
            <c:showLegendKey val="0"/>
            <c:showVal val="0"/>
            <c:showCatName val="0"/>
            <c:showSerName val="0"/>
            <c:showPercent val="0"/>
            <c:showBubbleSize val="0"/>
            <c:showLeaderLines val="0"/>
          </c:dLbls>
          <c:trendline>
            <c:spPr>
              <a:ln w="9525" cap="flat" cmpd="sng"/>
            </c:spPr>
            <c:trendlineType val="linear"/>
            <c:forward val="10"/>
            <c:backward val="10"/>
            <c:intercept val="0"/>
            <c:dispRSqr val="0"/>
            <c:dispEq val="0"/>
          </c:trendline>
          <c:xVal>
            <c:numRef>
              <c:f>'Method Comparison 20 Samples'!$B$13:$B$32</c:f>
              <c:numCache/>
            </c:numRef>
          </c:xVal>
          <c:yVal>
            <c:numRef>
              <c:f>'Method Comparison 20 Samples'!$C$13:$C$32</c:f>
              <c:numCache/>
            </c:numRef>
          </c:yVal>
          <c:smooth val="0"/>
          <c:extLst>
            <c:ext xmlns:c16="http://schemas.microsoft.com/office/drawing/2014/chart" uri="{C3380CC4-5D6E-409C-BE32-E72D297353CC}">
              <c16:uniqueId val="{00000000-13E1-4767-9016-16BB24C71CF4}"/>
            </c:ext>
          </c:extLst>
        </c:ser>
        <c:ser>
          <c:idx val="1"/>
          <c:order val="1"/>
          <c:tx>
            <c:v>1:1</c:v>
          </c:tx>
          <c:spPr>
            <a:ln w="28575" cmpd="sng">
              <a:solidFill>
                <a:schemeClr val="tx2">
                  <a:lumMod val="40000"/>
                  <a:lumOff val="60000"/>
                </a:schemeClr>
              </a:solidFill>
              <a:prstDash val="sysDot"/>
            </a:ln>
          </c:spPr>
          <c:marker>
            <c:symbol val="none"/>
          </c:marker>
          <c:dLbls>
            <c:numFmt formatCode="General" sourceLinked="1"/>
            <c:showLegendKey val="0"/>
            <c:showVal val="0"/>
            <c:showCatName val="0"/>
            <c:showSerName val="0"/>
            <c:showPercent val="0"/>
            <c:showBubbleSize val="0"/>
            <c:showLeaderLines val="0"/>
          </c:dLbls>
          <c:trendline>
            <c:spPr>
              <a:ln w="9525" cap="flat" cmpd="sng">
                <a:solidFill>
                  <a:schemeClr val="accent1">
                    <a:lumMod val="60000"/>
                    <a:lumOff val="40000"/>
                  </a:schemeClr>
                </a:solidFill>
                <a:prstDash val="sysDot"/>
              </a:ln>
            </c:spPr>
            <c:trendlineType val="linear"/>
            <c:forward val="10"/>
            <c:backward val="10"/>
            <c:intercept val="0"/>
            <c:dispRSqr val="0"/>
            <c:dispEq val="0"/>
          </c:trendline>
          <c:xVal>
            <c:numRef>
              <c:f>'Method Comparison 20 Samples'!$B$13:$B$32</c:f>
              <c:numCache/>
            </c:numRef>
          </c:xVal>
          <c:yVal>
            <c:numRef>
              <c:f>'Method Comparison 20 Samples'!$B$13:$B$32</c:f>
              <c:numCache/>
            </c:numRef>
          </c:yVal>
          <c:smooth val="0"/>
          <c:extLst>
            <c:ext xmlns:c16="http://schemas.microsoft.com/office/drawing/2014/chart" uri="{C3380CC4-5D6E-409C-BE32-E72D297353CC}">
              <c16:uniqueId val="{00000001-13E1-4767-9016-16BB24C71CF4}"/>
            </c:ext>
          </c:extLst>
        </c:ser>
        <c:ser>
          <c:idx val="3"/>
          <c:order val="2"/>
          <c:tx>
            <c:v>Allowable Error</c:v>
          </c:tx>
          <c:spPr>
            <a:ln w="28575" cmpd="sng">
              <a:solidFill>
                <a:srgbClr val="FF0000"/>
              </a:solidFill>
              <a:prstDash val="sysDot"/>
            </a:ln>
          </c:spPr>
          <c:marker>
            <c:symbol val="none"/>
          </c:marker>
          <c:dLbls>
            <c:numFmt formatCode="General" sourceLinked="1"/>
            <c:showLegendKey val="0"/>
            <c:showVal val="0"/>
            <c:showCatName val="0"/>
            <c:showSerName val="0"/>
            <c:showPercent val="0"/>
            <c:showBubbleSize val="0"/>
            <c:showLeaderLines val="0"/>
          </c:dLbls>
          <c:trendline>
            <c:spPr>
              <a:ln w="9525" cap="flat" cmpd="sng">
                <a:solidFill>
                  <a:srgbClr val="FF0000"/>
                </a:solidFill>
                <a:prstDash val="sysDot"/>
              </a:ln>
            </c:spPr>
            <c:trendlineType val="linear"/>
            <c:forward val="10"/>
            <c:backward val="10"/>
            <c:intercept val="0"/>
            <c:dispRSqr val="0"/>
            <c:dispEq val="0"/>
          </c:trendline>
          <c:xVal>
            <c:numRef>
              <c:f>'Method Comparison 20 Samples'!$B$13:$B$32</c:f>
              <c:numCache/>
            </c:numRef>
          </c:xVal>
          <c:yVal>
            <c:numRef>
              <c:f>'Method Comparison 20 Samples'!$F$13:$F$32</c:f>
              <c:numCache/>
            </c:numRef>
          </c:yVal>
          <c:smooth val="0"/>
          <c:extLst>
            <c:ext xmlns:c16="http://schemas.microsoft.com/office/drawing/2014/chart" uri="{C3380CC4-5D6E-409C-BE32-E72D297353CC}">
              <c16:uniqueId val="{00000002-13E1-4767-9016-16BB24C71CF4}"/>
            </c:ext>
          </c:extLst>
        </c:ser>
        <c:ser>
          <c:idx val="4"/>
          <c:order val="3"/>
          <c:tx>
            <c:v>Allowable Error</c:v>
          </c:tx>
          <c:spPr>
            <a:ln w="28575" cmpd="sng">
              <a:solidFill>
                <a:srgbClr val="FF0000"/>
              </a:solidFill>
              <a:prstDash val="sysDot"/>
            </a:ln>
          </c:spPr>
          <c:marker>
            <c:symbol val="none"/>
          </c:marker>
          <c:dLbls>
            <c:numFmt formatCode="General" sourceLinked="1"/>
            <c:showLegendKey val="0"/>
            <c:showVal val="0"/>
            <c:showCatName val="0"/>
            <c:showSerName val="0"/>
            <c:showPercent val="0"/>
            <c:showBubbleSize val="0"/>
            <c:showLeaderLines val="0"/>
          </c:dLbls>
          <c:trendline>
            <c:spPr>
              <a:ln w="9525" cap="flat" cmpd="sng">
                <a:solidFill>
                  <a:srgbClr val="FF0000"/>
                </a:solidFill>
                <a:prstDash val="sysDot"/>
              </a:ln>
            </c:spPr>
            <c:trendlineType val="linear"/>
            <c:forward val="10"/>
            <c:backward val="10"/>
            <c:dispRSqr val="0"/>
            <c:dispEq val="0"/>
          </c:trendline>
          <c:xVal>
            <c:numRef>
              <c:f>'Method Comparison 20 Samples'!$B$13:$B$32</c:f>
              <c:numCache/>
            </c:numRef>
          </c:xVal>
          <c:yVal>
            <c:numRef>
              <c:f>'Method Comparison 20 Samples'!$G$13:$G$32</c:f>
              <c:numCache/>
            </c:numRef>
          </c:yVal>
          <c:smooth val="0"/>
          <c:extLst>
            <c:ext xmlns:c16="http://schemas.microsoft.com/office/drawing/2014/chart" uri="{C3380CC4-5D6E-409C-BE32-E72D297353CC}">
              <c16:uniqueId val="{00000003-13E1-4767-9016-16BB24C71CF4}"/>
            </c:ext>
          </c:extLst>
        </c:ser>
        <c:axId val="57567367"/>
        <c:axId val="14964377"/>
      </c:scatterChart>
      <c:valAx>
        <c:axId val="57567367"/>
        <c:scaling>
          <c:orientation val="minMax"/>
        </c:scaling>
        <c:delete val="0"/>
        <c:axPos val="b"/>
        <c:title>
          <c:tx>
            <c:rich>
              <a:bodyPr vert="horz" rot="0"/>
              <a:lstStyle/>
              <a:p>
                <a:pPr algn="ctr">
                  <a:defRPr/>
                </a:pPr>
                <a:r>
                  <a:rPr lang="en-US" u="none" baseline="0"/>
                  <a:t>Reference Method </a:t>
                </a:r>
              </a:p>
            </c:rich>
          </c:tx>
          <c:layout>
            <c:manualLayout>
              <c:xMode val="edge"/>
              <c:yMode val="edge"/>
              <c:x val="0.428"/>
              <c:y val="0.88275"/>
            </c:manualLayout>
          </c:layout>
          <c:overlay val="0"/>
          <c:spPr>
            <a:noFill/>
            <a:ln>
              <a:noFill/>
            </a:ln>
          </c:spPr>
        </c:title>
        <c:numFmt formatCode="General" sourceLinked="1"/>
        <c:majorTickMark val="out"/>
        <c:minorTickMark val="none"/>
        <c:tickLblPos val="nextTo"/>
        <c:spPr>
          <a:ln w="9525" cap="flat" cmpd="sng">
            <a:solidFill>
              <a:schemeClr val="tx1"/>
            </a:solidFill>
          </a:ln>
        </c:spPr>
        <c:txPr>
          <a:bodyPr vert="horz" rot="0"/>
          <a:lstStyle/>
          <a:p>
            <a:pPr>
              <a:defRPr lang="en-US" sz="1000" b="0" i="0" u="none" baseline="0">
                <a:solidFill>
                  <a:srgbClr val="000000"/>
                </a:solidFill>
                <a:latin typeface="Calibri"/>
                <a:ea typeface="Calibri"/>
                <a:cs typeface="Calibri"/>
              </a:defRPr>
            </a:pPr>
          </a:p>
        </c:txPr>
        <c:crossAx val="14964377"/>
        <c:crosses val="autoZero"/>
        <c:crossBetween val="midCat"/>
      </c:valAx>
      <c:valAx>
        <c:axId val="14964377"/>
        <c:scaling>
          <c:orientation val="minMax"/>
        </c:scaling>
        <c:delete val="0"/>
        <c:axPos val="l"/>
        <c:title>
          <c:tx>
            <c:rich>
              <a:bodyPr vert="horz" rot="-5400000"/>
              <a:lstStyle/>
              <a:p>
                <a:pPr algn="ctr">
                  <a:defRPr/>
                </a:pPr>
                <a:r>
                  <a:rPr lang="en-US" u="none" baseline="0"/>
                  <a:t>New</a:t>
                </a:r>
                <a:r>
                  <a:rPr lang="en-US" u="none" baseline="0"/>
                  <a:t> Method </a:t>
                </a:r>
              </a:p>
            </c:rich>
          </c:tx>
          <c:layout>
            <c:manualLayout>
              <c:xMode val="edge"/>
              <c:yMode val="edge"/>
              <c:x val="0.028"/>
              <c:y val="0.3615"/>
            </c:manualLayout>
          </c:layout>
          <c:overlay val="0"/>
          <c:spPr>
            <a:noFill/>
            <a:ln>
              <a:noFill/>
            </a:ln>
          </c:spPr>
        </c:title>
        <c:majorGridlines>
          <c:spPr>
            <a:ln w="9525" cap="flat" cmpd="sng">
              <a:solidFill>
                <a:schemeClr val="bg1"/>
              </a:solidFill>
            </a:ln>
          </c:spPr>
        </c:majorGridlines>
        <c:numFmt formatCode="General" sourceLinked="1"/>
        <c:majorTickMark val="out"/>
        <c:minorTickMark val="none"/>
        <c:tickLblPos val="nextTo"/>
        <c:spPr>
          <a:ln w="9525" cap="flat" cmpd="sng">
            <a:solidFill>
              <a:schemeClr val="tx1"/>
            </a:solidFill>
          </a:ln>
        </c:spPr>
        <c:crossAx val="57567367"/>
        <c:crosses val="autoZero"/>
        <c:crossBetween val="midCat"/>
      </c:valAx>
    </c:plotArea>
    <c:legend>
      <c:legendPos val="b"/>
      <c:legendEntry>
        <c:idx val="2"/>
        <c:delete val="1"/>
      </c:legendEntry>
      <c:legendEntry>
        <c:idx val="5"/>
        <c:delete val="1"/>
      </c:legendEntry>
      <c:legendEntry>
        <c:idx val="6"/>
        <c:delete val="1"/>
      </c:legendEntry>
      <c:legendEntry>
        <c:idx val="7"/>
        <c:delete val="1"/>
      </c:legendEntry>
      <c:layout/>
      <c:overlay val="1"/>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u="none" baseline="0"/>
              <a:t>Error Index</a:t>
            </a:r>
          </a:p>
        </c:rich>
      </c:tx>
      <c:layout/>
      <c:overlay val="0"/>
      <c:spPr>
        <a:noFill/>
        <a:ln w="9525">
          <a:noFill/>
        </a:ln>
      </c:spPr>
    </c:title>
    <c:autoTitleDeleted val="0"/>
    <c:plotArea>
      <c:layout/>
      <c:barChart>
        <c:barDir val="col"/>
        <c:grouping val="clustered"/>
        <c:varyColors val="0"/>
        <c:ser>
          <c:idx val="1"/>
          <c:order val="0"/>
          <c:spPr>
            <a:solidFill>
              <a:schemeClr val="accent1"/>
            </a:solidFill>
          </c:spPr>
          <c:invertIfNegative val="0"/>
          <c:dLbls>
            <c:numFmt formatCode="General" sourceLinked="1"/>
            <c:showLegendKey val="0"/>
            <c:showVal val="0"/>
            <c:showCatName val="0"/>
            <c:showSerName val="0"/>
            <c:showPercent val="0"/>
            <c:showBubbleSize val="0"/>
            <c:showLeaderLines val="0"/>
          </c:dLbls>
          <c:val>
            <c:numRef>
              <c:f>'Method Comparison 20 Samples'!$E$13:$E$32</c:f>
              <c:numCache/>
            </c:numRef>
          </c:val>
          <c:extLst>
            <c:ext xmlns:c16="http://schemas.microsoft.com/office/drawing/2014/chart" uri="{C3380CC4-5D6E-409C-BE32-E72D297353CC}">
              <c16:uniqueId val="{00000000-03B5-4C2C-8564-F6DACF26F60A}"/>
            </c:ext>
          </c:extLst>
        </c:ser>
        <c:axId val="24333207"/>
        <c:axId val="19670538"/>
      </c:barChart>
      <c:catAx>
        <c:axId val="24333207"/>
        <c:scaling>
          <c:orientation val="minMax"/>
        </c:scaling>
        <c:delete val="0"/>
        <c:axPos val="b"/>
        <c:numFmt formatCode="General" sourceLinked="1"/>
        <c:majorTickMark val="out"/>
        <c:minorTickMark val="none"/>
        <c:tickLblPos val="nextTo"/>
        <c:spPr>
          <a:ln w="9525" cap="flat" cmpd="sng"/>
        </c:spPr>
        <c:crossAx val="19670538"/>
        <c:crossesAt val="0"/>
        <c:auto val="1"/>
        <c:lblOffset val="100"/>
        <c:noMultiLvlLbl val="0"/>
      </c:catAx>
      <c:valAx>
        <c:axId val="19670538"/>
        <c:scaling>
          <c:orientation val="minMax"/>
          <c:max val="2"/>
          <c:min val="-2"/>
        </c:scaling>
        <c:delete val="0"/>
        <c:axPos val="l"/>
        <c:majorGridlines/>
        <c:numFmt formatCode="General" sourceLinked="1"/>
        <c:majorTickMark val="out"/>
        <c:minorTickMark val="none"/>
        <c:tickLblPos val="nextTo"/>
        <c:spPr>
          <a:ln w="9525" cap="flat" cmpd="sng"/>
        </c:spPr>
        <c:crossAx val="24333207"/>
        <c:crosses val="autoZero"/>
        <c:crossBetween val="between"/>
      </c:valAx>
    </c:plotArea>
    <c:plotVisOnly val="1"/>
    <c:dispBlanksAs val="gap"/>
    <c:showDLblsOverMax val="0"/>
  </c:chart>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sz="1100" b="1" i="0" u="none" baseline="0">
                <a:solidFill>
                  <a:schemeClr val="tx1"/>
                </a:solidFill>
                <a:latin typeface="+mn-lt"/>
                <a:ea typeface="+mn-ea"/>
                <a:cs typeface="+mn-cs"/>
              </a:rPr>
              <a:t>Scatter</a:t>
            </a:r>
            <a:r>
              <a:rPr lang="en-US" sz="1100" b="1" i="0" u="none" baseline="0">
                <a:solidFill>
                  <a:schemeClr val="tx1"/>
                </a:solidFill>
                <a:latin typeface="+mn-lt"/>
                <a:ea typeface="+mn-ea"/>
                <a:cs typeface="+mn-cs"/>
              </a:rPr>
              <a:t> Plot </a:t>
            </a:r>
          </a:p>
        </c:rich>
      </c:tx>
      <c:layout>
        <c:manualLayout>
          <c:xMode val="edge"/>
          <c:yMode val="edge"/>
          <c:x val="0.44325"/>
          <c:y val="0.0355"/>
        </c:manualLayout>
      </c:layout>
      <c:overlay val="0"/>
      <c:spPr>
        <a:noFill/>
        <a:ln w="9525">
          <a:noFill/>
        </a:ln>
      </c:spPr>
    </c:title>
    <c:autoTitleDeleted val="0"/>
    <c:plotArea>
      <c:layout>
        <c:manualLayout>
          <c:layoutTarget val="inner"/>
          <c:xMode val="edge"/>
          <c:yMode val="edge"/>
          <c:x val="0.13775"/>
          <c:y val="0.12125"/>
          <c:w val="0.822"/>
          <c:h val="0.63775"/>
        </c:manualLayout>
      </c:layout>
      <c:scatterChart>
        <c:scatterStyle val="lineMarker"/>
        <c:varyColors val="0"/>
        <c:ser>
          <c:idx val="0"/>
          <c:order val="0"/>
          <c:tx>
            <c:v>X-Y</c:v>
          </c:tx>
          <c:spPr>
            <a:ln w="28575">
              <a:noFill/>
              <a:round/>
            </a:ln>
          </c:spPr>
          <c:marker>
            <c:symbol val="circle"/>
            <c:size val="4"/>
            <c:spPr>
              <a:solidFill>
                <a:schemeClr val="tx1"/>
              </a:solidFill>
              <a:ln w="9525">
                <a:noFill/>
              </a:ln>
            </c:spPr>
          </c:marker>
          <c:dLbls>
            <c:numFmt formatCode="General" sourceLinked="1"/>
            <c:showLegendKey val="0"/>
            <c:showVal val="0"/>
            <c:showCatName val="0"/>
            <c:showSerName val="0"/>
            <c:showPercent val="0"/>
            <c:showBubbleSize val="0"/>
            <c:showLeaderLines val="0"/>
          </c:dLbls>
          <c:trendline>
            <c:spPr>
              <a:ln w="15875" cap="rnd" cmpd="sng">
                <a:solidFill>
                  <a:schemeClr val="tx1"/>
                </a:solidFill>
                <a:prstDash val="solid"/>
              </a:ln>
            </c:spPr>
            <c:trendlineType val="linear"/>
            <c:forward val="10"/>
            <c:backward val="10"/>
            <c:intercept val="0"/>
            <c:dispRSqr val="0"/>
            <c:dispEq val="0"/>
          </c:trendline>
          <c:xVal>
            <c:numRef>
              <c:f>'Method Comparison 40 Samples'!$B$12:$B$51</c:f>
              <c:numCache/>
            </c:numRef>
          </c:xVal>
          <c:yVal>
            <c:numRef>
              <c:f>'Method Comparison 40 Samples'!$C$12:$C$51</c:f>
              <c:numCache/>
            </c:numRef>
          </c:yVal>
          <c:smooth val="0"/>
          <c:extLst>
            <c:ext xmlns:c16="http://schemas.microsoft.com/office/drawing/2014/chart" uri="{C3380CC4-5D6E-409C-BE32-E72D297353CC}">
              <c16:uniqueId val="{00000001-3ADB-4F93-85AF-7192C75B5BCE}"/>
            </c:ext>
          </c:extLst>
        </c:ser>
        <c:ser>
          <c:idx val="1"/>
          <c:order val="1"/>
          <c:tx>
            <c:v>1:1</c:v>
          </c:tx>
          <c:spPr>
            <a:ln w="25400">
              <a:noFill/>
              <a:round/>
            </a:ln>
          </c:spPr>
          <c:marker>
            <c:symbol val="circle"/>
            <c:size val="5"/>
            <c:spPr>
              <a:noFill/>
              <a:ln w="9525">
                <a:noFill/>
              </a:ln>
            </c:spPr>
          </c:marker>
          <c:dLbls>
            <c:numFmt formatCode="General" sourceLinked="1"/>
            <c:showLegendKey val="0"/>
            <c:showVal val="0"/>
            <c:showCatName val="0"/>
            <c:showSerName val="0"/>
            <c:showPercent val="0"/>
            <c:showBubbleSize val="0"/>
            <c:showLeaderLines val="0"/>
          </c:dLbls>
          <c:trendline>
            <c:name>1:1</c:name>
            <c:spPr>
              <a:ln w="15875" cap="rnd" cmpd="sng">
                <a:solidFill>
                  <a:srgbClr val="00B0F0"/>
                </a:solidFill>
                <a:prstDash val="sysDot"/>
              </a:ln>
            </c:spPr>
            <c:trendlineType val="linear"/>
            <c:forward val="10"/>
            <c:backward val="10"/>
            <c:intercept val="0"/>
            <c:dispRSqr val="0"/>
            <c:dispEq val="0"/>
          </c:trendline>
          <c:xVal>
            <c:numRef>
              <c:f>'Method Comparison 40 Samples'!$B$12:$B$51</c:f>
              <c:numCache/>
            </c:numRef>
          </c:xVal>
          <c:yVal>
            <c:numRef>
              <c:f>'Method Comparison 40 Samples'!$B$12:$B$51</c:f>
              <c:numCache/>
            </c:numRef>
          </c:yVal>
          <c:smooth val="0"/>
          <c:extLst>
            <c:ext xmlns:c16="http://schemas.microsoft.com/office/drawing/2014/chart" uri="{C3380CC4-5D6E-409C-BE32-E72D297353CC}">
              <c16:uniqueId val="{00000003-3ADB-4F93-85AF-7192C75B5BCE}"/>
            </c:ext>
          </c:extLst>
        </c:ser>
        <c:ser>
          <c:idx val="2"/>
          <c:order val="2"/>
          <c:tx>
            <c:v>Allowable Error</c:v>
          </c:tx>
          <c:spPr>
            <a:ln w="25400">
              <a:noFill/>
              <a:round/>
            </a:ln>
          </c:spPr>
          <c:marker>
            <c:symbol val="circle"/>
            <c:size val="5"/>
            <c:spPr>
              <a:noFill/>
              <a:ln w="9525">
                <a:noFill/>
              </a:ln>
            </c:spPr>
          </c:marker>
          <c:dLbls>
            <c:numFmt formatCode="General" sourceLinked="1"/>
            <c:showLegendKey val="0"/>
            <c:showVal val="0"/>
            <c:showCatName val="0"/>
            <c:showSerName val="0"/>
            <c:showPercent val="0"/>
            <c:showBubbleSize val="0"/>
            <c:showLeaderLines val="0"/>
          </c:dLbls>
          <c:trendline>
            <c:name>Allowable Error</c:name>
            <c:spPr>
              <a:ln w="15875" cap="flat" cmpd="sng">
                <a:solidFill>
                  <a:srgbClr val="FF0000"/>
                </a:solidFill>
                <a:prstDash val="sysDot"/>
              </a:ln>
            </c:spPr>
            <c:trendlineType val="linear"/>
            <c:forward val="10"/>
            <c:backward val="10"/>
            <c:intercept val="0"/>
            <c:dispRSqr val="0"/>
            <c:dispEq val="0"/>
          </c:trendline>
          <c:xVal>
            <c:numRef>
              <c:f>'Method Comparison 40 Samples'!$B$12:$B$51</c:f>
              <c:numCache/>
            </c:numRef>
          </c:xVal>
          <c:yVal>
            <c:numRef>
              <c:f>'Method Comparison 40 Samples'!$F$12:$F$51</c:f>
              <c:numCache/>
            </c:numRef>
          </c:yVal>
          <c:smooth val="0"/>
          <c:extLst>
            <c:ext xmlns:c16="http://schemas.microsoft.com/office/drawing/2014/chart" uri="{C3380CC4-5D6E-409C-BE32-E72D297353CC}">
              <c16:uniqueId val="{00000005-3ADB-4F93-85AF-7192C75B5BCE}"/>
            </c:ext>
          </c:extLst>
        </c:ser>
        <c:ser>
          <c:idx val="3"/>
          <c:order val="3"/>
          <c:tx>
            <c:v>Allowable Error</c:v>
          </c:tx>
          <c:spPr>
            <a:ln w="25400">
              <a:noFill/>
              <a:round/>
            </a:ln>
          </c:spPr>
          <c:marker>
            <c:symbol val="circle"/>
            <c:size val="5"/>
            <c:spPr>
              <a:noFill/>
              <a:ln w="9525">
                <a:noFill/>
              </a:ln>
            </c:spPr>
          </c:marker>
          <c:dLbls>
            <c:numFmt formatCode="General" sourceLinked="1"/>
            <c:showLegendKey val="0"/>
            <c:showVal val="0"/>
            <c:showCatName val="0"/>
            <c:showSerName val="0"/>
            <c:showPercent val="0"/>
            <c:showBubbleSize val="0"/>
            <c:showLeaderLines val="0"/>
          </c:dLbls>
          <c:trendline>
            <c:name>Allowable Error</c:name>
            <c:spPr>
              <a:ln w="15875" cap="rnd" cmpd="sng">
                <a:solidFill>
                  <a:srgbClr val="FF0000"/>
                </a:solidFill>
                <a:prstDash val="sysDot"/>
              </a:ln>
            </c:spPr>
            <c:trendlineType val="linear"/>
            <c:forward val="10"/>
            <c:backward val="10"/>
            <c:intercept val="0"/>
            <c:dispRSqr val="0"/>
            <c:dispEq val="0"/>
          </c:trendline>
          <c:xVal>
            <c:numRef>
              <c:f>'Method Comparison 40 Samples'!$B$12:$B$51</c:f>
              <c:numCache/>
            </c:numRef>
          </c:xVal>
          <c:yVal>
            <c:numRef>
              <c:f>'Method Comparison 40 Samples'!$G$12:$G$51</c:f>
              <c:numCache/>
            </c:numRef>
          </c:yVal>
          <c:smooth val="0"/>
          <c:extLst>
            <c:ext xmlns:c16="http://schemas.microsoft.com/office/drawing/2014/chart" uri="{C3380CC4-5D6E-409C-BE32-E72D297353CC}">
              <c16:uniqueId val="{00000007-3ADB-4F93-85AF-7192C75B5BCE}"/>
            </c:ext>
          </c:extLst>
        </c:ser>
        <c:axId val="29156356"/>
        <c:axId val="62982492"/>
      </c:scatterChart>
      <c:valAx>
        <c:axId val="29156356"/>
        <c:scaling>
          <c:orientation val="minMax"/>
        </c:scaling>
        <c:delete val="0"/>
        <c:axPos val="b"/>
        <c:title>
          <c:tx>
            <c:rich>
              <a:bodyPr vert="horz" rot="0"/>
              <a:lstStyle/>
              <a:p>
                <a:pPr algn="ctr">
                  <a:defRPr/>
                </a:pPr>
                <a:r>
                  <a:rPr lang="en-US" sz="800" b="0" i="0" u="none" baseline="0">
                    <a:solidFill>
                      <a:schemeClr val="tx1"/>
                    </a:solidFill>
                    <a:latin typeface="+mn-lt"/>
                    <a:ea typeface="+mn-ea"/>
                    <a:cs typeface="+mn-cs"/>
                  </a:rPr>
                  <a:t>Reference</a:t>
                </a:r>
                <a:r>
                  <a:rPr lang="en-US" sz="800" b="0" i="0" u="none" baseline="0">
                    <a:solidFill>
                      <a:schemeClr val="tx1"/>
                    </a:solidFill>
                    <a:latin typeface="+mn-lt"/>
                    <a:ea typeface="+mn-ea"/>
                    <a:cs typeface="+mn-cs"/>
                  </a:rPr>
                  <a:t> Method </a:t>
                </a:r>
              </a:p>
            </c:rich>
          </c:tx>
          <c:layout>
            <c:manualLayout>
              <c:xMode val="edge"/>
              <c:yMode val="edge"/>
              <c:x val="0.3805"/>
              <c:y val="0.84025"/>
            </c:manualLayout>
          </c:layout>
          <c:overlay val="0"/>
          <c:spPr>
            <a:noFill/>
            <a:ln w="9525">
              <a:noFill/>
            </a:ln>
          </c:spPr>
        </c:title>
        <c:numFmt formatCode="General" sourceLinked="1"/>
        <c:majorTickMark val="none"/>
        <c:minorTickMark val="none"/>
        <c:tickLblPos val="nextTo"/>
        <c:spPr>
          <a:noFill/>
          <a:ln w="9525" cap="flat" cmpd="sng">
            <a:solidFill>
              <a:schemeClr val="tx1"/>
            </a:solidFill>
            <a:round/>
          </a:ln>
        </c:spPr>
        <c:txPr>
          <a:bodyPr/>
          <a:lstStyle/>
          <a:p>
            <a:pPr>
              <a:defRPr lang="en-US" sz="900" b="0" i="0" u="none" baseline="0">
                <a:solidFill>
                  <a:schemeClr val="tx1"/>
                </a:solidFill>
                <a:latin typeface="+mn-lt"/>
                <a:ea typeface="+mn-ea"/>
                <a:cs typeface="+mn-cs"/>
              </a:defRPr>
            </a:pPr>
          </a:p>
        </c:txPr>
        <c:crossAx val="62982492"/>
        <c:crosses val="autoZero"/>
        <c:crossBetween val="midCat"/>
      </c:valAx>
      <c:valAx>
        <c:axId val="62982492"/>
        <c:scaling>
          <c:orientation val="minMax"/>
        </c:scaling>
        <c:delete val="0"/>
        <c:axPos val="l"/>
        <c:title>
          <c:tx>
            <c:rich>
              <a:bodyPr vert="horz" rot="-5400000"/>
              <a:lstStyle/>
              <a:p>
                <a:pPr algn="ctr">
                  <a:defRPr/>
                </a:pPr>
                <a:r>
                  <a:rPr lang="en-US" sz="800" b="0" i="0" u="none" baseline="0">
                    <a:solidFill>
                      <a:schemeClr val="tx1"/>
                    </a:solidFill>
                    <a:latin typeface="+mn-lt"/>
                    <a:ea typeface="+mn-ea"/>
                    <a:cs typeface="+mn-cs"/>
                  </a:rPr>
                  <a:t>New</a:t>
                </a:r>
                <a:r>
                  <a:rPr lang="en-US" sz="800" b="0" i="0" u="none" baseline="0">
                    <a:solidFill>
                      <a:schemeClr val="tx1"/>
                    </a:solidFill>
                    <a:latin typeface="+mn-lt"/>
                    <a:ea typeface="+mn-ea"/>
                    <a:cs typeface="+mn-cs"/>
                  </a:rPr>
                  <a:t> Method </a:t>
                </a:r>
              </a:p>
            </c:rich>
          </c:tx>
          <c:layout>
            <c:manualLayout>
              <c:xMode val="edge"/>
              <c:yMode val="edge"/>
              <c:x val="0.0085"/>
              <c:y val="0.3865"/>
            </c:manualLayout>
          </c:layout>
          <c:overlay val="0"/>
          <c:spPr>
            <a:noFill/>
            <a:ln w="9525">
              <a:noFill/>
            </a:ln>
          </c:spPr>
        </c:title>
        <c:numFmt formatCode="General" sourceLinked="1"/>
        <c:majorTickMark val="none"/>
        <c:minorTickMark val="none"/>
        <c:tickLblPos val="nextTo"/>
        <c:spPr>
          <a:noFill/>
          <a:ln w="9525" cap="flat" cmpd="sng">
            <a:solidFill>
              <a:schemeClr val="tx1"/>
            </a:solidFill>
            <a:round/>
          </a:ln>
        </c:spPr>
        <c:txPr>
          <a:bodyPr/>
          <a:lstStyle/>
          <a:p>
            <a:pPr>
              <a:defRPr lang="en-US" sz="900" b="0" i="0" u="none" baseline="0">
                <a:solidFill>
                  <a:schemeClr val="tx1"/>
                </a:solidFill>
                <a:latin typeface="+mn-lt"/>
                <a:ea typeface="+mn-ea"/>
                <a:cs typeface="+mn-cs"/>
              </a:defRPr>
            </a:pPr>
          </a:p>
        </c:txPr>
        <c:crossAx val="29156356"/>
        <c:crosses val="autoZero"/>
        <c:crossBetween val="midCat"/>
      </c:valAx>
      <c:spPr>
        <a:noFill/>
        <a:ln w="9525">
          <a:noFill/>
        </a:ln>
      </c:spPr>
    </c:plotArea>
    <c:legend>
      <c:legendPos val="b"/>
      <c:legendEntry>
        <c:idx val="1"/>
        <c:delete val="1"/>
      </c:legendEntry>
      <c:legendEntry>
        <c:idx val="2"/>
        <c:delete val="1"/>
      </c:legendEntry>
      <c:legendEntry>
        <c:idx val="3"/>
        <c:delete val="1"/>
      </c:legendEntry>
      <c:layout>
        <c:manualLayout>
          <c:xMode val="edge"/>
          <c:yMode val="edge"/>
          <c:x val="0.08125"/>
          <c:y val="0.90175"/>
          <c:w val="0.78925"/>
          <c:h val="0.0745"/>
        </c:manualLayout>
      </c:layout>
      <c:overlay val="1"/>
      <c:spPr>
        <a:noFill/>
        <a:ln w="9525">
          <a:noFill/>
        </a:ln>
      </c:spPr>
      <c:txPr>
        <a:bodyPr vert="horz" rot="0"/>
        <a:lstStyle/>
        <a:p>
          <a:pPr>
            <a:defRPr lang="en-US" sz="800" b="0" i="0" u="none" baseline="0">
              <a:solidFill>
                <a:schemeClr val="tx1"/>
              </a:solidFill>
              <a:latin typeface="+mn-lt"/>
              <a:ea typeface="+mn-ea"/>
              <a:cs typeface="+mn-cs"/>
            </a:defRPr>
          </a:pPr>
        </a:p>
      </c:txPr>
    </c:legend>
    <c:plotVisOnly val="1"/>
    <c:dispBlanksAs val="gap"/>
    <c:showDLblsOverMax val="0"/>
  </c:chart>
  <c:spPr>
    <a:solidFill>
      <a:schemeClr val="bg1"/>
    </a:solidFill>
    <a:ln w="9525" cap="flat" cmpd="sng">
      <a:solidFill>
        <a:schemeClr val="tx1"/>
      </a:solidFill>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sz="1100" b="1" i="0" u="none" baseline="0">
                <a:solidFill>
                  <a:schemeClr val="tx1"/>
                </a:solidFill>
                <a:latin typeface="+mn-lt"/>
                <a:ea typeface="+mn-ea"/>
                <a:cs typeface="+mn-cs"/>
              </a:rPr>
              <a:t>Error</a:t>
            </a:r>
            <a:r>
              <a:rPr lang="en-US" sz="1100" b="1" i="0" u="none" baseline="0">
                <a:solidFill>
                  <a:schemeClr val="tx1"/>
                </a:solidFill>
                <a:latin typeface="+mn-lt"/>
                <a:ea typeface="+mn-ea"/>
                <a:cs typeface="+mn-cs"/>
              </a:rPr>
              <a:t> Index </a:t>
            </a:r>
          </a:p>
        </c:rich>
      </c:tx>
      <c:layout/>
      <c:overlay val="0"/>
      <c:spPr>
        <a:noFill/>
        <a:ln w="9525">
          <a:noFill/>
        </a:ln>
      </c:spPr>
    </c:title>
    <c:autoTitleDeleted val="0"/>
    <c:plotArea>
      <c:layout>
        <c:manualLayout>
          <c:layoutTarget val="inner"/>
          <c:xMode val="edge"/>
          <c:yMode val="edge"/>
          <c:x val="0.10425"/>
          <c:y val="0.14325"/>
          <c:w val="0.839"/>
          <c:h val="0.7405"/>
        </c:manualLayout>
      </c:layout>
      <c:barChart>
        <c:barDir val="col"/>
        <c:grouping val="clustered"/>
        <c:varyColors val="0"/>
        <c:ser>
          <c:idx val="0"/>
          <c:order val="0"/>
          <c:spPr>
            <a:solidFill>
              <a:schemeClr val="accent1"/>
            </a:solidFill>
            <a:ln w="9525" cap="flat" cmpd="sng">
              <a:solidFill>
                <a:schemeClr val="tx1">
                  <a:tint val="75000"/>
                  <a:shade val="95000"/>
                  <a:satMod val="105000"/>
                  <a:alpha val="96000"/>
                </a:schemeClr>
              </a:solidFill>
            </a:ln>
          </c:spPr>
          <c:invertIfNegative val="0"/>
          <c:dLbls>
            <c:numFmt formatCode="General" sourceLinked="1"/>
            <c:showLegendKey val="0"/>
            <c:showVal val="0"/>
            <c:showCatName val="0"/>
            <c:showSerName val="0"/>
            <c:showPercent val="0"/>
            <c:showBubbleSize val="0"/>
            <c:showLeaderLines val="0"/>
          </c:dLbls>
          <c:val>
            <c:numRef>
              <c:f>'Method Comparison 40 Samples'!$E$12:$E$51</c:f>
              <c:numCache/>
            </c:numRef>
          </c:val>
          <c:extLst>
            <c:ext xmlns:c16="http://schemas.microsoft.com/office/drawing/2014/chart" uri="{C3380CC4-5D6E-409C-BE32-E72D297353CC}">
              <c16:uniqueId val="{00000000-F947-4861-A815-786C28ED1163}"/>
            </c:ext>
          </c:extLst>
        </c:ser>
        <c:gapWidth val="200"/>
        <c:axId val="51709941"/>
        <c:axId val="34028022"/>
      </c:barChart>
      <c:catAx>
        <c:axId val="51709941"/>
        <c:scaling>
          <c:orientation val="minMax"/>
        </c:scaling>
        <c:delete val="0"/>
        <c:axPos val="b"/>
        <c:numFmt formatCode="General" sourceLinked="1"/>
        <c:majorTickMark val="out"/>
        <c:minorTickMark val="none"/>
        <c:tickLblPos val="nextTo"/>
        <c:spPr>
          <a:noFill/>
          <a:ln w="9525" cap="flat" cmpd="sng">
            <a:solidFill>
              <a:schemeClr val="tx1"/>
            </a:solidFill>
            <a:round/>
          </a:ln>
        </c:spPr>
        <c:txPr>
          <a:bodyPr/>
          <a:lstStyle/>
          <a:p>
            <a:pPr>
              <a:defRPr lang="en-US" sz="900" b="0" i="0" u="none" baseline="0">
                <a:solidFill>
                  <a:schemeClr val="tx1"/>
                </a:solidFill>
                <a:latin typeface="+mn-lt"/>
                <a:ea typeface="+mn-ea"/>
                <a:cs typeface="+mn-cs"/>
              </a:defRPr>
            </a:pPr>
          </a:p>
        </c:txPr>
        <c:crossAx val="34028022"/>
        <c:crosses val="autoZero"/>
        <c:auto val="1"/>
        <c:lblOffset val="100"/>
        <c:noMultiLvlLbl val="0"/>
      </c:catAx>
      <c:valAx>
        <c:axId val="34028022"/>
        <c:scaling>
          <c:orientation val="minMax"/>
          <c:max val="2"/>
          <c:min val="-2"/>
        </c:scaling>
        <c:delete val="0"/>
        <c:axPos val="l"/>
        <c:majorGridlines>
          <c:spPr>
            <a:ln w="6350" cap="flat" cmpd="sng">
              <a:solidFill>
                <a:schemeClr val="tx1"/>
              </a:solidFill>
              <a:round/>
            </a:ln>
          </c:spPr>
        </c:majorGridlines>
        <c:numFmt formatCode="General" sourceLinked="1"/>
        <c:majorTickMark val="none"/>
        <c:minorTickMark val="none"/>
        <c:tickLblPos val="nextTo"/>
        <c:spPr>
          <a:noFill/>
          <a:ln w="9525" cap="flat" cmpd="sng">
            <a:solidFill>
              <a:schemeClr val="tx1">
                <a:tint val="75000"/>
                <a:shade val="95000"/>
                <a:satMod val="105000"/>
              </a:schemeClr>
            </a:solidFill>
          </a:ln>
        </c:spPr>
        <c:txPr>
          <a:bodyPr/>
          <a:lstStyle/>
          <a:p>
            <a:pPr>
              <a:defRPr lang="en-US" sz="900" b="0" i="0" u="none" baseline="0">
                <a:solidFill>
                  <a:schemeClr val="tx1"/>
                </a:solidFill>
                <a:latin typeface="+mn-lt"/>
                <a:ea typeface="+mn-ea"/>
                <a:cs typeface="+mn-cs"/>
              </a:defRPr>
            </a:pPr>
          </a:p>
        </c:txPr>
        <c:crossAx val="51709941"/>
        <c:crosses val="autoZero"/>
        <c:crossBetween val="between"/>
      </c:valAx>
      <c:spPr>
        <a:solidFill>
          <a:schemeClr val="bg1"/>
        </a:solidFill>
        <a:ln w="9525">
          <a:noFill/>
        </a:ln>
      </c:spPr>
    </c:plotArea>
    <c:plotVisOnly val="1"/>
    <c:dispBlanksAs val="gap"/>
    <c:showDLblsOverMax val="0"/>
  </c:chart>
  <c:spPr>
    <a:solidFill>
      <a:schemeClr val="bg1"/>
    </a:solidFill>
    <a:ln w="9525" cap="flat" cmpd="sng">
      <a:solidFill>
        <a:srgbClr val="000000"/>
      </a:solidFill>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sz="1000" b="1" i="0" u="none" baseline="0">
                <a:solidFill>
                  <a:srgbClr val="000000"/>
                </a:solidFill>
                <a:latin typeface="Arial"/>
                <a:ea typeface="Arial"/>
                <a:cs typeface="Arial"/>
              </a:rPr>
              <a:t>Scatter Plot</a:t>
            </a:r>
          </a:p>
        </c:rich>
      </c:tx>
      <c:layout>
        <c:manualLayout>
          <c:xMode val="edge"/>
          <c:yMode val="edge"/>
          <c:x val="0.39725"/>
          <c:y val="0.0355"/>
        </c:manualLayout>
      </c:layout>
      <c:overlay val="0"/>
      <c:spPr>
        <a:noFill/>
        <a:ln w="25400">
          <a:noFill/>
        </a:ln>
      </c:spPr>
    </c:title>
    <c:autoTitleDeleted val="0"/>
    <c:plotArea>
      <c:layout>
        <c:manualLayout>
          <c:layoutTarget val="inner"/>
          <c:xMode val="edge"/>
          <c:yMode val="edge"/>
          <c:x val="0.15"/>
          <c:y val="0.04725"/>
          <c:w val="0.78675"/>
          <c:h val="0.76125"/>
        </c:manualLayout>
      </c:layout>
      <c:scatterChart>
        <c:scatterStyle val="lineMarker"/>
        <c:varyColors val="0"/>
        <c:ser>
          <c:idx val="0"/>
          <c:order val="0"/>
          <c:tx>
            <c:v>X-Y</c:v>
          </c:tx>
          <c:spPr>
            <a:ln w="15875">
              <a:noFill/>
            </a:ln>
          </c:spPr>
          <c:marker>
            <c:symbol val="circle"/>
            <c:size val="3"/>
            <c:spPr>
              <a:solidFill>
                <a:schemeClr val="tx1"/>
              </a:solidFill>
              <a:ln w="9525">
                <a:noFill/>
              </a:ln>
            </c:spPr>
          </c:marker>
          <c:dLbls>
            <c:numFmt formatCode="General" sourceLinked="1"/>
            <c:showLegendKey val="0"/>
            <c:showVal val="0"/>
            <c:showCatName val="0"/>
            <c:showSerName val="0"/>
            <c:showPercent val="0"/>
            <c:showBubbleSize val="0"/>
            <c:showLeaderLines val="0"/>
          </c:dLbls>
          <c:trendline>
            <c:spPr>
              <a:ln w="9525" cap="flat" cmpd="sng"/>
            </c:spPr>
            <c:trendlineType val="linear"/>
            <c:dispRSqr val="0"/>
            <c:dispEq val="0"/>
          </c:trendline>
          <c:xVal>
            <c:numRef>
              <c:f>'Alt Method Comparison'!$B$14:$B$33</c:f>
              <c:numCache/>
            </c:numRef>
          </c:xVal>
          <c:yVal>
            <c:numRef>
              <c:f>'Alt Method Comparison'!$C$14:$C$33</c:f>
              <c:numCache/>
            </c:numRef>
          </c:yVal>
          <c:smooth val="0"/>
          <c:extLst>
            <c:ext xmlns:c16="http://schemas.microsoft.com/office/drawing/2014/chart" uri="{C3380CC4-5D6E-409C-BE32-E72D297353CC}">
              <c16:uniqueId val="{00000000-02C8-40BF-8B60-A41EAD8D803A}"/>
            </c:ext>
          </c:extLst>
        </c:ser>
        <c:ser>
          <c:idx val="1"/>
          <c:order val="1"/>
          <c:tx>
            <c:v>1:1 Line</c:v>
          </c:tx>
          <c:spPr>
            <a:ln w="28575" cmpd="sng">
              <a:solidFill>
                <a:srgbClr val="4F81BD">
                  <a:alpha val="50000"/>
                </a:srgbClr>
              </a:solidFill>
            </a:ln>
          </c:spPr>
          <c:marker>
            <c:symbol val="none"/>
          </c:marker>
          <c:dLbls>
            <c:numFmt formatCode="General" sourceLinked="1"/>
            <c:showLegendKey val="0"/>
            <c:showVal val="0"/>
            <c:showCatName val="0"/>
            <c:showSerName val="0"/>
            <c:showPercent val="0"/>
            <c:showBubbleSize val="0"/>
            <c:showLeaderLines val="0"/>
          </c:dLbls>
          <c:xVal>
            <c:numRef>
              <c:f>'Alt Method Comparison'!$B$14:$B$33</c:f>
              <c:numCache/>
            </c:numRef>
          </c:xVal>
          <c:yVal>
            <c:numRef>
              <c:f>'Alt Method Comparison'!$B$14:$B$33</c:f>
              <c:numCache/>
            </c:numRef>
          </c:yVal>
          <c:smooth val="0"/>
          <c:extLst>
            <c:ext xmlns:c16="http://schemas.microsoft.com/office/drawing/2014/chart" uri="{C3380CC4-5D6E-409C-BE32-E72D297353CC}">
              <c16:uniqueId val="{00000001-02C8-40BF-8B60-A41EAD8D803A}"/>
            </c:ext>
          </c:extLst>
        </c:ser>
        <c:ser>
          <c:idx val="2"/>
          <c:order val="2"/>
          <c:tx>
            <c:v>extend</c:v>
          </c:tx>
          <c:spPr>
            <a:ln w="28575" cmpd="sng">
              <a:solidFill>
                <a:srgbClr val="4F81BD">
                  <a:alpha val="50000"/>
                </a:srgbClr>
              </a:solidFill>
            </a:ln>
          </c:spPr>
          <c:marker>
            <c:symbol val="none"/>
          </c:marker>
          <c:dLbls>
            <c:numFmt formatCode="General" sourceLinked="1"/>
            <c:showLegendKey val="0"/>
            <c:showVal val="0"/>
            <c:showCatName val="0"/>
            <c:showSerName val="0"/>
            <c:showPercent val="0"/>
            <c:showBubbleSize val="0"/>
            <c:showLeaderLines val="0"/>
          </c:dLbls>
          <c:xVal>
            <c:numRef>
              <c:f>'Alt Method Comparison'!$F$14:$F$15</c:f>
              <c:numCache/>
            </c:numRef>
          </c:xVal>
          <c:yVal>
            <c:numRef>
              <c:f>'Alt Method Comparison'!$F$14:$F$15</c:f>
              <c:numCache/>
            </c:numRef>
          </c:yVal>
          <c:smooth val="0"/>
          <c:extLst>
            <c:ext xmlns:c16="http://schemas.microsoft.com/office/drawing/2014/chart" uri="{C3380CC4-5D6E-409C-BE32-E72D297353CC}">
              <c16:uniqueId val="{00000002-02C8-40BF-8B60-A41EAD8D803A}"/>
            </c:ext>
          </c:extLst>
        </c:ser>
        <c:ser>
          <c:idx val="4"/>
          <c:order val="3"/>
          <c:tx>
            <c:v>Allowable Error</c:v>
          </c:tx>
          <c:spPr>
            <a:ln w="28575" cmpd="sng">
              <a:solidFill>
                <a:srgbClr val="FF0000">
                  <a:alpha val="50000"/>
                </a:srgbClr>
              </a:solidFill>
              <a:prstDash val="sysDot"/>
            </a:ln>
          </c:spPr>
          <c:marker>
            <c:symbol val="none"/>
          </c:marker>
          <c:dLbls>
            <c:numFmt formatCode="General" sourceLinked="1"/>
            <c:showLegendKey val="0"/>
            <c:showVal val="0"/>
            <c:showCatName val="0"/>
            <c:showSerName val="0"/>
            <c:showPercent val="0"/>
            <c:showBubbleSize val="0"/>
            <c:showLeaderLines val="0"/>
          </c:dLbls>
          <c:xVal>
            <c:numRef>
              <c:f>'Alt Method Comparison'!$B$14:$B$33</c:f>
              <c:numCache/>
            </c:numRef>
          </c:xVal>
          <c:yVal>
            <c:numRef>
              <c:f>'Alt Method Comparison'!$B$42:$B$62</c:f>
              <c:numCache/>
            </c:numRef>
          </c:yVal>
          <c:smooth val="0"/>
          <c:extLst>
            <c:ext xmlns:c16="http://schemas.microsoft.com/office/drawing/2014/chart" uri="{C3380CC4-5D6E-409C-BE32-E72D297353CC}">
              <c16:uniqueId val="{00000003-02C8-40BF-8B60-A41EAD8D803A}"/>
            </c:ext>
          </c:extLst>
        </c:ser>
        <c:ser>
          <c:idx val="5"/>
          <c:order val="4"/>
          <c:tx>
            <c:v>Low bounds</c:v>
          </c:tx>
          <c:spPr>
            <a:ln w="28575" cmpd="sng">
              <a:solidFill>
                <a:srgbClr val="FF0000">
                  <a:alpha val="50000"/>
                </a:srgbClr>
              </a:solidFill>
              <a:prstDash val="sysDot"/>
            </a:ln>
          </c:spPr>
          <c:marker>
            <c:symbol val="none"/>
          </c:marker>
          <c:dLbls>
            <c:numFmt formatCode="General" sourceLinked="1"/>
            <c:showLegendKey val="0"/>
            <c:showVal val="0"/>
            <c:showCatName val="0"/>
            <c:showSerName val="0"/>
            <c:showPercent val="0"/>
            <c:showBubbleSize val="0"/>
            <c:showLeaderLines val="0"/>
          </c:dLbls>
          <c:xVal>
            <c:numRef>
              <c:f>'Alt Method Comparison'!$B$14:$B$33</c:f>
              <c:numCache/>
            </c:numRef>
          </c:xVal>
          <c:yVal>
            <c:numRef>
              <c:f>'Alt Method Comparison'!$C$42:$C$62</c:f>
              <c:numCache/>
            </c:numRef>
          </c:yVal>
          <c:smooth val="0"/>
          <c:extLst>
            <c:ext xmlns:c16="http://schemas.microsoft.com/office/drawing/2014/chart" uri="{C3380CC4-5D6E-409C-BE32-E72D297353CC}">
              <c16:uniqueId val="{00000004-02C8-40BF-8B60-A41EAD8D803A}"/>
            </c:ext>
          </c:extLst>
        </c:ser>
        <c:axId val="55148050"/>
        <c:axId val="24315329"/>
      </c:scatterChart>
      <c:valAx>
        <c:axId val="55148050"/>
        <c:scaling>
          <c:orientation val="minMax"/>
        </c:scaling>
        <c:delete val="0"/>
        <c:axPos val="b"/>
        <c:numFmt formatCode="General" sourceLinked="1"/>
        <c:majorTickMark val="out"/>
        <c:minorTickMark val="none"/>
        <c:tickLblPos val="nextTo"/>
        <c:spPr>
          <a:ln w="9525" cap="flat" cmpd="sng"/>
        </c:spPr>
        <c:txPr>
          <a:bodyPr vert="horz" rot="0"/>
          <a:lstStyle/>
          <a:p>
            <a:pPr>
              <a:defRPr lang="en-US" sz="575" b="0" i="0" u="none" baseline="0">
                <a:solidFill>
                  <a:srgbClr val="000000"/>
                </a:solidFill>
                <a:latin typeface="Arial"/>
                <a:ea typeface="Arial"/>
                <a:cs typeface="Arial"/>
              </a:defRPr>
            </a:pPr>
          </a:p>
        </c:txPr>
        <c:crossAx val="24315329"/>
        <c:crosses val="autoZero"/>
        <c:crossBetween val="midCat"/>
      </c:valAx>
      <c:valAx>
        <c:axId val="24315329"/>
        <c:scaling>
          <c:orientation val="minMax"/>
        </c:scaling>
        <c:delete val="0"/>
        <c:axPos val="l"/>
        <c:majorGridlines>
          <c:spPr>
            <a:ln w="0" cap="flat" cmpd="sng">
              <a:solidFill>
                <a:schemeClr val="bg1"/>
              </a:solidFill>
            </a:ln>
          </c:spPr>
        </c:majorGridlines>
        <c:numFmt formatCode="General" sourceLinked="1"/>
        <c:majorTickMark val="out"/>
        <c:minorTickMark val="none"/>
        <c:tickLblPos val="nextTo"/>
        <c:spPr>
          <a:ln w="9525" cap="flat" cmpd="sng"/>
        </c:spPr>
        <c:txPr>
          <a:bodyPr vert="horz" rot="0"/>
          <a:lstStyle/>
          <a:p>
            <a:pPr>
              <a:defRPr lang="en-US" sz="575" b="0" i="0" u="none" baseline="0">
                <a:solidFill>
                  <a:srgbClr val="000000"/>
                </a:solidFill>
                <a:latin typeface="Arial"/>
                <a:ea typeface="Arial"/>
                <a:cs typeface="Arial"/>
              </a:defRPr>
            </a:pPr>
          </a:p>
        </c:txPr>
        <c:crossAx val="55148050"/>
        <c:crosses val="autoZero"/>
        <c:crossBetween val="midCat"/>
      </c:valAx>
      <c:spPr>
        <a:noFill/>
        <a:ln w="25400">
          <a:noFill/>
        </a:ln>
      </c:spPr>
    </c:plotArea>
    <c:legend>
      <c:legendPos val="r"/>
      <c:legendEntry>
        <c:idx val="2"/>
        <c:delete val="1"/>
      </c:legendEntry>
      <c:legendEntry>
        <c:idx val="4"/>
        <c:delete val="1"/>
      </c:legendEntry>
      <c:layout>
        <c:manualLayout>
          <c:xMode val="edge"/>
          <c:yMode val="edge"/>
          <c:x val="0.1615"/>
          <c:y val="0.112"/>
          <c:w val="0.326"/>
          <c:h val="0.24575"/>
        </c:manualLayout>
      </c:layout>
      <c:overlay val="1"/>
    </c:legend>
    <c:plotVisOnly val="1"/>
    <c:dispBlanksAs val="gap"/>
    <c:showDLblsOverMax val="0"/>
  </c:chart>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sz="875" b="1" i="0" u="none" baseline="0">
                <a:solidFill>
                  <a:srgbClr val="000000"/>
                </a:solidFill>
                <a:latin typeface="Arial"/>
                <a:ea typeface="Arial"/>
                <a:cs typeface="Arial"/>
              </a:rPr>
              <a:t>Bias</a:t>
            </a:r>
          </a:p>
        </c:rich>
      </c:tx>
      <c:layout>
        <c:manualLayout>
          <c:xMode val="edge"/>
          <c:yMode val="edge"/>
          <c:x val="0.46225"/>
          <c:y val="0.03575"/>
        </c:manualLayout>
      </c:layout>
      <c:overlay val="0"/>
      <c:spPr>
        <a:noFill/>
        <a:ln w="25400">
          <a:noFill/>
        </a:ln>
      </c:spPr>
    </c:title>
    <c:autoTitleDeleted val="0"/>
    <c:plotArea>
      <c:layout>
        <c:manualLayout>
          <c:layoutTarget val="inner"/>
          <c:xMode val="edge"/>
          <c:yMode val="edge"/>
          <c:x val="0.12975"/>
          <c:y val="0.19725"/>
          <c:w val="0.8135"/>
          <c:h val="0.62725"/>
        </c:manualLayout>
      </c:layout>
      <c:scatterChart>
        <c:scatterStyle val="lineMarker"/>
        <c:varyColors val="0"/>
        <c:ser>
          <c:idx val="0"/>
          <c:order val="0"/>
          <c:spPr>
            <a:ln w="28575">
              <a:noFill/>
            </a:ln>
          </c:spPr>
          <c:marker>
            <c:symbol val="diamond"/>
            <c:size val="5"/>
            <c:spPr>
              <a:solidFill>
                <a:srgbClr val="000080"/>
              </a:solidFill>
              <a:ln w="9525" cap="flat" cmpd="sng">
                <a:solidFill>
                  <a:srgbClr val="000080"/>
                </a:solidFill>
                <a:prstDash val="solid"/>
              </a:ln>
            </c:spPr>
          </c:marker>
          <c:dLbls>
            <c:numFmt formatCode="General" sourceLinked="1"/>
            <c:showLegendKey val="0"/>
            <c:showVal val="0"/>
            <c:showCatName val="0"/>
            <c:showSerName val="0"/>
            <c:showPercent val="0"/>
            <c:showBubbleSize val="0"/>
            <c:showLeaderLines val="0"/>
          </c:dLbls>
          <c:xVal>
            <c:numRef>
              <c:f>'Alt Method Comparison'!$B$14:$B$33</c:f>
              <c:numCache/>
            </c:numRef>
          </c:xVal>
          <c:yVal>
            <c:numRef>
              <c:f>'Alt Method Comparison'!$D$14:$D$33</c:f>
              <c:numCache/>
            </c:numRef>
          </c:yVal>
          <c:smooth val="0"/>
          <c:extLst>
            <c:ext xmlns:c16="http://schemas.microsoft.com/office/drawing/2014/chart" uri="{C3380CC4-5D6E-409C-BE32-E72D297353CC}">
              <c16:uniqueId val="{00000000-6CF0-49D4-966C-C7EAEBBA91CF}"/>
            </c:ext>
          </c:extLst>
        </c:ser>
        <c:axId val="13788548"/>
        <c:axId val="40138532"/>
      </c:scatterChart>
      <c:valAx>
        <c:axId val="13788548"/>
        <c:scaling>
          <c:orientation val="minMax"/>
        </c:scaling>
        <c:delete val="0"/>
        <c:axPos val="b"/>
        <c:title>
          <c:tx>
            <c:rich>
              <a:bodyPr vert="horz" rot="0"/>
              <a:lstStyle/>
              <a:p>
                <a:pPr algn="ctr">
                  <a:defRPr/>
                </a:pPr>
                <a:r>
                  <a:rPr lang="en-US" sz="800" b="1" i="0" u="none" baseline="0">
                    <a:solidFill>
                      <a:srgbClr val="000000"/>
                    </a:solidFill>
                    <a:latin typeface="Arial"/>
                    <a:ea typeface="Arial"/>
                    <a:cs typeface="Arial"/>
                  </a:rPr>
                  <a:t>Reference Method</a:t>
                </a:r>
              </a:p>
            </c:rich>
          </c:tx>
          <c:layout>
            <c:manualLayout>
              <c:xMode val="edge"/>
              <c:yMode val="edge"/>
              <c:x val="0.42425"/>
              <c:y val="0.8925"/>
            </c:manualLayout>
          </c:layout>
          <c:overlay val="0"/>
          <c:spPr>
            <a:noFill/>
            <a:ln w="25400">
              <a:noFill/>
            </a:ln>
          </c:spPr>
        </c:title>
        <c:numFmt formatCode="General" sourceLinked="1"/>
        <c:majorTickMark val="out"/>
        <c:minorTickMark val="none"/>
        <c:tickLblPos val="low"/>
        <c:spPr>
          <a:ln w="3175" cap="flat" cmpd="sng">
            <a:solidFill>
              <a:srgbClr val="000000"/>
            </a:solidFill>
            <a:prstDash val="solid"/>
          </a:ln>
        </c:spPr>
        <c:txPr>
          <a:bodyPr vert="horz" rot="0"/>
          <a:lstStyle/>
          <a:p>
            <a:pPr>
              <a:defRPr lang="en-US" sz="500" b="0" i="0" u="none" baseline="0">
                <a:solidFill>
                  <a:srgbClr val="000000"/>
                </a:solidFill>
                <a:latin typeface="Arial"/>
                <a:ea typeface="Arial"/>
                <a:cs typeface="Arial"/>
              </a:defRPr>
            </a:pPr>
          </a:p>
        </c:txPr>
        <c:crossAx val="40138532"/>
        <c:crossesAt val="0"/>
        <c:crossBetween val="midCat"/>
      </c:valAx>
      <c:valAx>
        <c:axId val="40138532"/>
        <c:scaling>
          <c:orientation val="minMax"/>
        </c:scaling>
        <c:delete val="0"/>
        <c:axPos val="l"/>
        <c:title>
          <c:tx>
            <c:rich>
              <a:bodyPr vert="horz" rot="-5400000"/>
              <a:lstStyle/>
              <a:p>
                <a:pPr algn="ctr">
                  <a:defRPr/>
                </a:pPr>
                <a:r>
                  <a:rPr lang="en-US" sz="800" b="1" i="0" u="none" baseline="0">
                    <a:solidFill>
                      <a:srgbClr val="000000"/>
                    </a:solidFill>
                    <a:latin typeface="Arial"/>
                    <a:ea typeface="Arial"/>
                    <a:cs typeface="Arial"/>
                  </a:rPr>
                  <a:t>Bias</a:t>
                </a:r>
              </a:p>
            </c:rich>
          </c:tx>
          <c:layout>
            <c:manualLayout>
              <c:xMode val="edge"/>
              <c:yMode val="edge"/>
              <c:x val="0.018"/>
              <c:y val="0.47425"/>
            </c:manualLayout>
          </c:layout>
          <c:overlay val="0"/>
          <c:spPr>
            <a:noFill/>
            <a:ln w="25400">
              <a:noFill/>
            </a:ln>
          </c:spPr>
        </c:title>
        <c:majorGridlines>
          <c:spPr>
            <a:ln w="3175" cap="flat" cmpd="sng">
              <a:solidFill>
                <a:srgbClr val="000000"/>
              </a:solidFill>
              <a:prstDash val="solid"/>
            </a:ln>
          </c:spPr>
        </c:majorGridlines>
        <c:numFmt formatCode="General" sourceLinked="1"/>
        <c:majorTickMark val="out"/>
        <c:minorTickMark val="none"/>
        <c:tickLblPos val="nextTo"/>
        <c:spPr>
          <a:ln w="3175" cap="flat" cmpd="sng">
            <a:solidFill>
              <a:srgbClr val="000000"/>
            </a:solidFill>
            <a:prstDash val="solid"/>
          </a:ln>
        </c:spPr>
        <c:txPr>
          <a:bodyPr vert="horz" rot="0"/>
          <a:lstStyle/>
          <a:p>
            <a:pPr>
              <a:defRPr lang="en-US" sz="500" b="0" i="0" u="none" baseline="0">
                <a:solidFill>
                  <a:srgbClr val="000000"/>
                </a:solidFill>
                <a:latin typeface="Arial"/>
                <a:ea typeface="Arial"/>
                <a:cs typeface="Arial"/>
              </a:defRPr>
            </a:pPr>
          </a:p>
        </c:txPr>
        <c:crossAx val="13788548"/>
        <c:crosses val="autoZero"/>
        <c:crossBetween val="midCat"/>
      </c:valAx>
      <c:spPr>
        <a:solidFill>
          <a:srgbClr val="C0C0C0"/>
        </a:solidFill>
        <a:ln w="12700" cap="flat" cmpd="sng">
          <a:solidFill>
            <a:srgbClr val="808080"/>
          </a:solidFill>
          <a:prstDash val="solid"/>
        </a:ln>
      </c:spPr>
    </c:plotArea>
    <c:plotVisOnly val="1"/>
    <c:dispBlanksAs val="gap"/>
    <c:showDLblsOverMax val="0"/>
  </c:chart>
  <c:spPr>
    <a:solidFill>
      <a:srgbClr val="FFFFFF"/>
    </a:solidFill>
    <a:ln w="3175" cap="flat" cmpd="sng">
      <a:solidFill>
        <a:srgbClr val="000000"/>
      </a:solidFill>
      <a:prstDash val="solid"/>
    </a:ln>
  </c:spPr>
  <c:txPr>
    <a:bodyPr vert="horz" rot="0"/>
    <a:lstStyle/>
    <a:p>
      <a:pPr>
        <a:defRPr lang="en-US" sz="500" b="0" i="0" u="none" baseline="0">
          <a:solidFill>
            <a:srgbClr val="000000"/>
          </a:solidFill>
          <a:latin typeface="Arial"/>
          <a:ea typeface="Arial"/>
          <a:cs typeface="Arial"/>
        </a:defRPr>
      </a:pPr>
    </a:p>
  </c:tx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175"/>
          <c:y val="0.0355"/>
        </c:manualLayout>
      </c:layout>
      <c:overlay val="0"/>
      <c:spPr>
        <a:noFill/>
        <a:ln w="25400">
          <a:noFill/>
        </a:ln>
      </c:spPr>
      <c:txPr>
        <a:bodyPr vert="horz" rot="0"/>
        <a:lstStyle/>
        <a:p>
          <a:pPr>
            <a:defRPr lang="en-US" sz="900" b="1" i="0" u="none" baseline="0">
              <a:solidFill>
                <a:srgbClr val="000000"/>
              </a:solidFill>
              <a:latin typeface="Arial"/>
              <a:ea typeface="Arial"/>
              <a:cs typeface="Arial"/>
            </a:defRPr>
          </a:pPr>
        </a:p>
      </c:txPr>
    </c:title>
    <c:autoTitleDeleted val="0"/>
    <c:plotArea>
      <c:layout>
        <c:manualLayout>
          <c:layoutTarget val="inner"/>
          <c:xMode val="edge"/>
          <c:yMode val="edge"/>
          <c:x val="0.1165"/>
          <c:y val="0.17075"/>
          <c:w val="0.828"/>
          <c:h val="0.65475"/>
        </c:manualLayout>
      </c:layout>
      <c:scatterChart>
        <c:scatterStyle val="lineMarker"/>
        <c:varyColors val="0"/>
        <c:ser>
          <c:idx val="0"/>
          <c:order val="0"/>
          <c:tx>
            <c:v>Percent Bias</c:v>
          </c:tx>
          <c:spPr>
            <a:ln w="28575">
              <a:noFill/>
            </a:ln>
          </c:spPr>
          <c:marker>
            <c:symbol val="diamond"/>
            <c:size val="5"/>
            <c:spPr>
              <a:solidFill>
                <a:srgbClr val="000080"/>
              </a:solidFill>
              <a:ln w="9525" cap="flat" cmpd="sng">
                <a:solidFill>
                  <a:srgbClr val="000080"/>
                </a:solidFill>
                <a:prstDash val="solid"/>
              </a:ln>
            </c:spPr>
          </c:marker>
          <c:dLbls>
            <c:numFmt formatCode="General" sourceLinked="1"/>
            <c:showLegendKey val="0"/>
            <c:showVal val="0"/>
            <c:showCatName val="0"/>
            <c:showSerName val="0"/>
            <c:showPercent val="0"/>
            <c:showBubbleSize val="0"/>
            <c:showLeaderLines val="0"/>
          </c:dLbls>
          <c:xVal>
            <c:numRef>
              <c:f>'Alt Method Comparison'!$B$14:$B$33</c:f>
              <c:numCache/>
            </c:numRef>
          </c:xVal>
          <c:yVal>
            <c:numRef>
              <c:f>'Alt Method Comparison'!$R$5:$R$24</c:f>
              <c:numCache/>
            </c:numRef>
          </c:yVal>
          <c:smooth val="0"/>
          <c:extLst>
            <c:ext xmlns:c16="http://schemas.microsoft.com/office/drawing/2014/chart" uri="{C3380CC4-5D6E-409C-BE32-E72D297353CC}">
              <c16:uniqueId val="{00000000-9676-44AA-B89B-1028CA6308D5}"/>
            </c:ext>
          </c:extLst>
        </c:ser>
        <c:axId val="52239858"/>
        <c:axId val="7044360"/>
      </c:scatterChart>
      <c:valAx>
        <c:axId val="52239858"/>
        <c:scaling>
          <c:orientation val="minMax"/>
        </c:scaling>
        <c:delete val="0"/>
        <c:axPos val="b"/>
        <c:title>
          <c:tx>
            <c:rich>
              <a:bodyPr vert="horz" rot="0"/>
              <a:lstStyle/>
              <a:p>
                <a:pPr algn="ctr">
                  <a:defRPr/>
                </a:pPr>
                <a:r>
                  <a:rPr lang="en-US" sz="525" b="1" i="0" u="none" baseline="0">
                    <a:solidFill>
                      <a:srgbClr val="000000"/>
                    </a:solidFill>
                    <a:latin typeface="Arial"/>
                    <a:ea typeface="Arial"/>
                    <a:cs typeface="Arial"/>
                  </a:rPr>
                  <a:t>Reference Method</a:t>
                </a:r>
              </a:p>
            </c:rich>
          </c:tx>
          <c:layout>
            <c:manualLayout>
              <c:xMode val="edge"/>
              <c:yMode val="edge"/>
              <c:x val="0.42075"/>
              <c:y val="0.89325"/>
            </c:manualLayout>
          </c:layout>
          <c:overlay val="0"/>
          <c:spPr>
            <a:noFill/>
            <a:ln w="25400">
              <a:noFill/>
            </a:ln>
          </c:spPr>
        </c:title>
        <c:numFmt formatCode="General" sourceLinked="1"/>
        <c:majorTickMark val="out"/>
        <c:minorTickMark val="none"/>
        <c:tickLblPos val="low"/>
        <c:spPr>
          <a:ln w="3175" cap="flat" cmpd="sng">
            <a:solidFill>
              <a:srgbClr val="000000"/>
            </a:solidFill>
            <a:prstDash val="solid"/>
          </a:ln>
        </c:spPr>
        <c:txPr>
          <a:bodyPr vert="horz" rot="0"/>
          <a:lstStyle/>
          <a:p>
            <a:pPr>
              <a:defRPr lang="en-US" sz="525" b="0" i="0" u="none" baseline="0">
                <a:solidFill>
                  <a:srgbClr val="000000"/>
                </a:solidFill>
                <a:latin typeface="Arial"/>
                <a:ea typeface="Arial"/>
                <a:cs typeface="Arial"/>
              </a:defRPr>
            </a:pPr>
          </a:p>
        </c:txPr>
        <c:crossAx val="7044360"/>
        <c:crosses val="autoZero"/>
        <c:crossBetween val="midCat"/>
      </c:valAx>
      <c:valAx>
        <c:axId val="7044360"/>
        <c:scaling>
          <c:orientation val="minMax"/>
        </c:scaling>
        <c:delete val="0"/>
        <c:axPos val="l"/>
        <c:title>
          <c:tx>
            <c:rich>
              <a:bodyPr vert="horz" rot="-5400000"/>
              <a:lstStyle/>
              <a:p>
                <a:pPr algn="ctr">
                  <a:defRPr/>
                </a:pPr>
                <a:r>
                  <a:rPr lang="en-US" sz="525" b="1" i="0" u="none" baseline="0">
                    <a:solidFill>
                      <a:srgbClr val="000000"/>
                    </a:solidFill>
                    <a:latin typeface="Arial"/>
                    <a:ea typeface="Arial"/>
                    <a:cs typeface="Arial"/>
                  </a:rPr>
                  <a:t>Percent Bias</a:t>
                </a:r>
              </a:p>
            </c:rich>
          </c:tx>
          <c:layout>
            <c:manualLayout>
              <c:xMode val="edge"/>
              <c:yMode val="edge"/>
              <c:x val="0.04225"/>
              <c:y val="0.395"/>
            </c:manualLayout>
          </c:layout>
          <c:overlay val="0"/>
          <c:spPr>
            <a:noFill/>
            <a:ln w="25400">
              <a:noFill/>
            </a:ln>
          </c:spPr>
        </c:title>
        <c:majorGridlines>
          <c:spPr>
            <a:ln w="3175" cap="flat" cmpd="sng">
              <a:solidFill>
                <a:srgbClr val="000000"/>
              </a:solidFill>
              <a:prstDash val="solid"/>
            </a:ln>
          </c:spPr>
        </c:majorGridlines>
        <c:numFmt formatCode="General" sourceLinked="1"/>
        <c:majorTickMark val="out"/>
        <c:minorTickMark val="none"/>
        <c:tickLblPos val="nextTo"/>
        <c:spPr>
          <a:ln w="3175" cap="flat" cmpd="sng">
            <a:solidFill>
              <a:srgbClr val="000000"/>
            </a:solidFill>
            <a:prstDash val="solid"/>
          </a:ln>
        </c:spPr>
        <c:txPr>
          <a:bodyPr vert="horz" rot="0"/>
          <a:lstStyle/>
          <a:p>
            <a:pPr>
              <a:defRPr lang="en-US" sz="525" b="0" i="0" u="none" baseline="0">
                <a:solidFill>
                  <a:srgbClr val="000000"/>
                </a:solidFill>
                <a:latin typeface="Arial"/>
                <a:ea typeface="Arial"/>
                <a:cs typeface="Arial"/>
              </a:defRPr>
            </a:pPr>
          </a:p>
        </c:txPr>
        <c:crossAx val="52239858"/>
        <c:crosses val="autoZero"/>
        <c:crossBetween val="midCat"/>
      </c:valAx>
      <c:spPr>
        <a:solidFill>
          <a:srgbClr val="C0C0C0"/>
        </a:solidFill>
        <a:ln w="12700" cap="flat" cmpd="sng">
          <a:solidFill>
            <a:srgbClr val="808080"/>
          </a:solidFill>
          <a:prstDash val="solid"/>
        </a:ln>
      </c:spPr>
    </c:plotArea>
    <c:plotVisOnly val="1"/>
    <c:dispBlanksAs val="gap"/>
    <c:showDLblsOverMax val="0"/>
  </c:chart>
  <c:spPr>
    <a:solidFill>
      <a:srgbClr val="FFFFFF"/>
    </a:solidFill>
    <a:ln w="3175" cap="flat" cmpd="sng">
      <a:solidFill>
        <a:srgbClr val="000000"/>
      </a:solidFill>
      <a:prstDash val="solid"/>
    </a:ln>
  </c:spPr>
  <c:txPr>
    <a:bodyPr vert="horz" rot="0"/>
    <a:lstStyle/>
    <a:p>
      <a:pPr>
        <a:defRPr lang="en-US" sz="525" b="0" i="0" u="none" baseline="0">
          <a:solidFill>
            <a:srgbClr val="000000"/>
          </a:solidFill>
          <a:latin typeface="Arial"/>
          <a:ea typeface="Arial"/>
          <a:cs typeface="Arial"/>
        </a:defRPr>
      </a:pPr>
    </a:p>
  </c:txPr>
</c:chartSpace>
</file>

<file path=xl/charts/color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2" Type="http://schemas.openxmlformats.org/officeDocument/2006/relationships/chart" Target="../charts/chart2.xml" /><Relationship Id="rId1" Type="http://schemas.openxmlformats.org/officeDocument/2006/relationships/chart" Target="../charts/chart1.xml" /></Relationships>
</file>

<file path=xl/drawings/_rels/drawing2.xml.rels><?xml version="1.0" encoding="UTF-8" standalone="yes"?><Relationships xmlns="http://schemas.openxmlformats.org/package/2006/relationships"><Relationship Id="rId2" Type="http://schemas.openxmlformats.org/officeDocument/2006/relationships/chart" Target="../charts/chart4.xml" /><Relationship Id="rId1" Type="http://schemas.openxmlformats.org/officeDocument/2006/relationships/chart" Target="../charts/chart3.xml" /></Relationships>
</file>

<file path=xl/drawings/_rels/drawing3.xml.rels><?xml version="1.0" encoding="UTF-8" standalone="yes"?><Relationships xmlns="http://schemas.openxmlformats.org/package/2006/relationships"><Relationship Id="rId2" Type="http://schemas.openxmlformats.org/officeDocument/2006/relationships/chart" Target="../charts/chart6.xml" /><Relationship Id="rId3" Type="http://schemas.openxmlformats.org/officeDocument/2006/relationships/chart" Target="../charts/chart7.xml" /><Relationship Id="rId1" Type="http://schemas.openxmlformats.org/officeDocument/2006/relationships/chart" Target="../charts/chart5.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368300</xdr:colOff>
      <xdr:row>10</xdr:row>
      <xdr:rowOff>38100</xdr:rowOff>
    </xdr:from>
    <xdr:to>
      <xdr:col>13</xdr:col>
      <xdr:colOff>533400</xdr:colOff>
      <xdr:row>32</xdr:row>
      <xdr:rowOff>101600</xdr:rowOff>
    </xdr:to>
    <xdr:graphicFrame macro="">
      <xdr:nvGraphicFramePr>
        <xdr:cNvPr id="194609" name="Chart 1"/>
        <xdr:cNvGraphicFramePr/>
      </xdr:nvGraphicFramePr>
      <xdr:xfrm>
        <a:off x="3514725" y="2009775"/>
        <a:ext cx="5038725" cy="4076700"/>
      </xdr:xfrm>
      <a:graphic>
        <a:graphicData uri="http://schemas.openxmlformats.org/drawingml/2006/chart">
          <c:chart xmlns:c="http://schemas.openxmlformats.org/drawingml/2006/chart" r:id="rId1"/>
        </a:graphicData>
      </a:graphic>
    </xdr:graphicFrame>
    <xdr:clientData/>
  </xdr:twoCellAnchor>
  <xdr:twoCellAnchor>
    <xdr:from>
      <xdr:col>5</xdr:col>
      <xdr:colOff>539750</xdr:colOff>
      <xdr:row>39</xdr:row>
      <xdr:rowOff>69850</xdr:rowOff>
    </xdr:from>
    <xdr:to>
      <xdr:col>12</xdr:col>
      <xdr:colOff>577850</xdr:colOff>
      <xdr:row>57</xdr:row>
      <xdr:rowOff>171450</xdr:rowOff>
    </xdr:to>
    <xdr:graphicFrame macro="">
      <xdr:nvGraphicFramePr>
        <xdr:cNvPr id="194610" name="Chart 3"/>
        <xdr:cNvGraphicFramePr/>
      </xdr:nvGraphicFramePr>
      <xdr:xfrm>
        <a:off x="3686175" y="7353300"/>
        <a:ext cx="4305300" cy="3533775"/>
      </xdr:xfrm>
      <a:graphic>
        <a:graphicData uri="http://schemas.openxmlformats.org/drawingml/2006/chart">
          <c:chart xmlns:c="http://schemas.openxmlformats.org/drawingml/2006/chart" r:id="rId2"/>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209550</xdr:colOff>
      <xdr:row>11</xdr:row>
      <xdr:rowOff>9525</xdr:rowOff>
    </xdr:from>
    <xdr:to>
      <xdr:col>12</xdr:col>
      <xdr:colOff>704849</xdr:colOff>
      <xdr:row>31</xdr:row>
      <xdr:rowOff>57150</xdr:rowOff>
    </xdr:to>
    <xdr:graphicFrame macro="">
      <xdr:nvGraphicFramePr>
        <xdr:cNvPr id="2" name="Chart 1"/>
        <xdr:cNvGraphicFramePr/>
      </xdr:nvGraphicFramePr>
      <xdr:xfrm>
        <a:off x="2486025" y="1695450"/>
        <a:ext cx="3695700" cy="3286125"/>
      </xdr:xfrm>
      <a:graphic>
        <a:graphicData uri="http://schemas.openxmlformats.org/drawingml/2006/chart">
          <c:chart xmlns:c="http://schemas.openxmlformats.org/drawingml/2006/chart" r:id="rId1"/>
        </a:graphicData>
      </a:graphic>
    </xdr:graphicFrame>
    <xdr:clientData/>
  </xdr:twoCellAnchor>
  <xdr:twoCellAnchor>
    <xdr:from>
      <xdr:col>5</xdr:col>
      <xdr:colOff>219074</xdr:colOff>
      <xdr:row>31</xdr:row>
      <xdr:rowOff>123825</xdr:rowOff>
    </xdr:from>
    <xdr:to>
      <xdr:col>12</xdr:col>
      <xdr:colOff>704849</xdr:colOff>
      <xdr:row>49</xdr:row>
      <xdr:rowOff>152400</xdr:rowOff>
    </xdr:to>
    <xdr:graphicFrame macro="">
      <xdr:nvGraphicFramePr>
        <xdr:cNvPr id="3" name="Chart 2"/>
        <xdr:cNvGraphicFramePr/>
      </xdr:nvGraphicFramePr>
      <xdr:xfrm>
        <a:off x="2495550" y="5048250"/>
        <a:ext cx="3686175" cy="2943225"/>
      </xdr:xfrm>
      <a:graphic>
        <a:graphicData uri="http://schemas.openxmlformats.org/drawingml/2006/chart">
          <c:chart xmlns:c="http://schemas.openxmlformats.org/drawingml/2006/chart" r:id="rId2"/>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139700</xdr:colOff>
      <xdr:row>12</xdr:row>
      <xdr:rowOff>0</xdr:rowOff>
    </xdr:from>
    <xdr:to>
      <xdr:col>11</xdr:col>
      <xdr:colOff>635000</xdr:colOff>
      <xdr:row>26</xdr:row>
      <xdr:rowOff>19050</xdr:rowOff>
    </xdr:to>
    <xdr:graphicFrame macro="">
      <xdr:nvGraphicFramePr>
        <xdr:cNvPr id="1304" name="Chart 1"/>
        <xdr:cNvGraphicFramePr/>
      </xdr:nvGraphicFramePr>
      <xdr:xfrm>
        <a:off x="3228975" y="2190750"/>
        <a:ext cx="3667125" cy="2571750"/>
      </xdr:xfrm>
      <a:graphic>
        <a:graphicData uri="http://schemas.openxmlformats.org/drawingml/2006/chart">
          <c:chart xmlns:c="http://schemas.openxmlformats.org/drawingml/2006/chart" r:id="rId1"/>
        </a:graphicData>
      </a:graphic>
    </xdr:graphicFrame>
    <xdr:clientData/>
  </xdr:twoCellAnchor>
  <xdr:twoCellAnchor>
    <xdr:from>
      <xdr:col>11</xdr:col>
      <xdr:colOff>755650</xdr:colOff>
      <xdr:row>12</xdr:row>
      <xdr:rowOff>19050</xdr:rowOff>
    </xdr:from>
    <xdr:to>
      <xdr:col>17</xdr:col>
      <xdr:colOff>425450</xdr:colOff>
      <xdr:row>26</xdr:row>
      <xdr:rowOff>6350</xdr:rowOff>
    </xdr:to>
    <xdr:graphicFrame macro="">
      <xdr:nvGraphicFramePr>
        <xdr:cNvPr id="1305" name="Chart 38"/>
        <xdr:cNvGraphicFramePr/>
      </xdr:nvGraphicFramePr>
      <xdr:xfrm>
        <a:off x="7010400" y="2209800"/>
        <a:ext cx="3724275" cy="2543175"/>
      </xdr:xfrm>
      <a:graphic>
        <a:graphicData uri="http://schemas.openxmlformats.org/drawingml/2006/chart">
          <c:chart xmlns:c="http://schemas.openxmlformats.org/drawingml/2006/chart" r:id="rId2"/>
        </a:graphicData>
      </a:graphic>
    </xdr:graphicFrame>
    <xdr:clientData/>
  </xdr:twoCellAnchor>
  <xdr:twoCellAnchor>
    <xdr:from>
      <xdr:col>17</xdr:col>
      <xdr:colOff>539750</xdr:colOff>
      <xdr:row>12</xdr:row>
      <xdr:rowOff>25400</xdr:rowOff>
    </xdr:from>
    <xdr:to>
      <xdr:col>23</xdr:col>
      <xdr:colOff>457200</xdr:colOff>
      <xdr:row>26</xdr:row>
      <xdr:rowOff>38100</xdr:rowOff>
    </xdr:to>
    <xdr:graphicFrame macro="">
      <xdr:nvGraphicFramePr>
        <xdr:cNvPr id="1306" name="Chart 39"/>
        <xdr:cNvGraphicFramePr/>
      </xdr:nvGraphicFramePr>
      <xdr:xfrm>
        <a:off x="10848975" y="2219325"/>
        <a:ext cx="3629025" cy="2562225"/>
      </xdr:xfrm>
      <a:graphic>
        <a:graphicData uri="http://schemas.openxmlformats.org/drawingml/2006/chart">
          <c:chart xmlns:c="http://schemas.openxmlformats.org/drawingml/2006/chart"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2" Type="http://schemas.openxmlformats.org/officeDocument/2006/relationships/printerSettings" Target="../printerSettings/printerSettings2.bin" /><Relationship Id="rId1" Type="http://schemas.openxmlformats.org/officeDocument/2006/relationships/drawing" Target="../drawings/drawing1.xml" /></Relationships>
</file>

<file path=xl/worksheets/_rels/sheet3.xml.rels><?xml version="1.0" encoding="UTF-8" standalone="yes"?><Relationships xmlns="http://schemas.openxmlformats.org/package/2006/relationships"><Relationship Id="rId2" Type="http://schemas.openxmlformats.org/officeDocument/2006/relationships/printerSettings" Target="../printerSettings/printerSettings3.bin" /><Relationship Id="rId1" Type="http://schemas.openxmlformats.org/officeDocument/2006/relationships/drawing" Target="../drawings/drawing2.xml" /></Relationships>
</file>

<file path=xl/worksheets/_rels/sheet4.xml.rels><?xml version="1.0" encoding="UTF-8" standalone="yes"?><Relationships xmlns="http://schemas.openxmlformats.org/package/2006/relationships"><Relationship Id="rId2" Type="http://schemas.openxmlformats.org/officeDocument/2006/relationships/printerSettings" Target="../printerSettings/printerSettings4.bin" /><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5948A-F46E-4FB6-A24B-3617B855C140}">
  <dimension ref="A1:M47"/>
  <sheetViews>
    <sheetView workbookViewId="0" topLeftCell="A20">
      <selection pane="topLeft" activeCell="V41" sqref="V41"/>
    </sheetView>
  </sheetViews>
  <sheetFormatPr defaultRowHeight="15"/>
  <cols>
    <col min="10" max="11" width="0.428571428571429" customWidth="1"/>
    <col min="12" max="20" width="9.14285714285714" hidden="1" customWidth="1"/>
    <col min="26" max="28" width="9.14285714285714" customWidth="1"/>
    <col min="29" max="29" width="0" hidden="1" customWidth="1"/>
    <col min="30" max="33" width="9.14285714285714" customWidth="1"/>
    <col min="34" max="34" width="4.14285714285714" customWidth="1"/>
    <col min="35" max="39" width="9.14285714285714" hidden="1" customWidth="1"/>
  </cols>
  <sheetData>
    <row r="1" spans="1:1" ht="14.4">
      <c r="A1" s="60" t="s">
        <v>47</v>
      </c>
    </row>
    <row r="2" spans="1:13" ht="14.4">
      <c r="A2" s="60" t="s">
        <v>53</v>
      </c>
    </row>
    <row r="3" spans="1:11" ht="14.4">
      <c r="A3" s="111" t="s">
        <v>52</v>
      </c>
      <c r="B3" s="112"/>
      <c r="C3" s="112"/>
      <c r="D3" s="112"/>
      <c r="E3" s="112"/>
      <c r="F3" s="112"/>
      <c r="G3" s="112"/>
      <c r="H3" s="112"/>
      <c r="I3" s="112"/>
      <c r="J3" s="112"/>
      <c r="K3" s="112"/>
    </row>
    <row r="4" spans="1:11" ht="14.4">
      <c r="A4" s="112"/>
      <c r="B4" s="112"/>
      <c r="C4" s="112"/>
      <c r="D4" s="112"/>
      <c r="E4" s="112"/>
      <c r="F4" s="112"/>
      <c r="G4" s="112"/>
      <c r="H4" s="112"/>
      <c r="I4" s="112"/>
      <c r="J4" s="112"/>
      <c r="K4" s="112"/>
    </row>
    <row r="5" spans="1:11" ht="14.4">
      <c r="A5" s="112"/>
      <c r="B5" s="112"/>
      <c r="C5" s="112"/>
      <c r="D5" s="112"/>
      <c r="E5" s="112"/>
      <c r="F5" s="112"/>
      <c r="G5" s="112"/>
      <c r="H5" s="112"/>
      <c r="I5" s="112"/>
      <c r="J5" s="112"/>
      <c r="K5" s="112"/>
    </row>
    <row r="6" spans="1:11" ht="14.4">
      <c r="A6" s="112"/>
      <c r="B6" s="112"/>
      <c r="C6" s="112"/>
      <c r="D6" s="112"/>
      <c r="E6" s="112"/>
      <c r="F6" s="112"/>
      <c r="G6" s="112"/>
      <c r="H6" s="112"/>
      <c r="I6" s="112"/>
      <c r="J6" s="112"/>
      <c r="K6" s="112"/>
    </row>
    <row r="7" spans="1:11" ht="14.4">
      <c r="A7" s="112"/>
      <c r="B7" s="112"/>
      <c r="C7" s="112"/>
      <c r="D7" s="112"/>
      <c r="E7" s="112"/>
      <c r="F7" s="112"/>
      <c r="G7" s="112"/>
      <c r="H7" s="112"/>
      <c r="I7" s="112"/>
      <c r="J7" s="112"/>
      <c r="K7" s="112"/>
    </row>
    <row r="8" spans="1:11" ht="14.4">
      <c r="A8" s="112"/>
      <c r="B8" s="112"/>
      <c r="C8" s="112"/>
      <c r="D8" s="112"/>
      <c r="E8" s="112"/>
      <c r="F8" s="112"/>
      <c r="G8" s="112"/>
      <c r="H8" s="112"/>
      <c r="I8" s="112"/>
      <c r="J8" s="112"/>
      <c r="K8" s="112"/>
    </row>
    <row r="9" spans="1:11" ht="14.4">
      <c r="A9" s="112"/>
      <c r="B9" s="112"/>
      <c r="C9" s="112"/>
      <c r="D9" s="112"/>
      <c r="E9" s="112"/>
      <c r="F9" s="112"/>
      <c r="G9" s="112"/>
      <c r="H9" s="112"/>
      <c r="I9" s="112"/>
      <c r="J9" s="112"/>
      <c r="K9" s="112"/>
    </row>
    <row r="10" spans="1:11" ht="14.4">
      <c r="A10" s="112"/>
      <c r="B10" s="112"/>
      <c r="C10" s="112"/>
      <c r="D10" s="112"/>
      <c r="E10" s="112"/>
      <c r="F10" s="112"/>
      <c r="G10" s="112"/>
      <c r="H10" s="112"/>
      <c r="I10" s="112"/>
      <c r="J10" s="112"/>
      <c r="K10" s="112"/>
    </row>
    <row r="11" spans="1:11" ht="14.4">
      <c r="A11" s="112"/>
      <c r="B11" s="112"/>
      <c r="C11" s="112"/>
      <c r="D11" s="112"/>
      <c r="E11" s="112"/>
      <c r="F11" s="112"/>
      <c r="G11" s="112"/>
      <c r="H11" s="112"/>
      <c r="I11" s="112"/>
      <c r="J11" s="112"/>
      <c r="K11" s="112"/>
    </row>
    <row r="12" spans="1:11" ht="14.4">
      <c r="A12" s="112"/>
      <c r="B12" s="112"/>
      <c r="C12" s="112"/>
      <c r="D12" s="112"/>
      <c r="E12" s="112"/>
      <c r="F12" s="112"/>
      <c r="G12" s="112"/>
      <c r="H12" s="112"/>
      <c r="I12" s="112"/>
      <c r="J12" s="112"/>
      <c r="K12" s="112"/>
    </row>
    <row r="13" spans="1:11" ht="14.4">
      <c r="A13" s="112"/>
      <c r="B13" s="112"/>
      <c r="C13" s="112"/>
      <c r="D13" s="112"/>
      <c r="E13" s="112"/>
      <c r="F13" s="112"/>
      <c r="G13" s="112"/>
      <c r="H13" s="112"/>
      <c r="I13" s="112"/>
      <c r="J13" s="112"/>
      <c r="K13" s="112"/>
    </row>
    <row r="14" spans="1:11" ht="14.4">
      <c r="A14" s="112"/>
      <c r="B14" s="112"/>
      <c r="C14" s="112"/>
      <c r="D14" s="112"/>
      <c r="E14" s="112"/>
      <c r="F14" s="112"/>
      <c r="G14" s="112"/>
      <c r="H14" s="112"/>
      <c r="I14" s="112"/>
      <c r="J14" s="112"/>
      <c r="K14" s="112"/>
    </row>
    <row r="15" spans="1:11" ht="14.4">
      <c r="A15" s="112"/>
      <c r="B15" s="112"/>
      <c r="C15" s="112"/>
      <c r="D15" s="112"/>
      <c r="E15" s="112"/>
      <c r="F15" s="112"/>
      <c r="G15" s="112"/>
      <c r="H15" s="112"/>
      <c r="I15" s="112"/>
      <c r="J15" s="112"/>
      <c r="K15" s="112"/>
    </row>
    <row r="16" spans="1:11" ht="14.4">
      <c r="A16" s="112"/>
      <c r="B16" s="112"/>
      <c r="C16" s="112"/>
      <c r="D16" s="112"/>
      <c r="E16" s="112"/>
      <c r="F16" s="112"/>
      <c r="G16" s="112"/>
      <c r="H16" s="112"/>
      <c r="I16" s="112"/>
      <c r="J16" s="112"/>
      <c r="K16" s="112"/>
    </row>
    <row r="17" spans="1:11" ht="14.4">
      <c r="A17" s="112"/>
      <c r="B17" s="112"/>
      <c r="C17" s="112"/>
      <c r="D17" s="112"/>
      <c r="E17" s="112"/>
      <c r="F17" s="112"/>
      <c r="G17" s="112"/>
      <c r="H17" s="112"/>
      <c r="I17" s="112"/>
      <c r="J17" s="112"/>
      <c r="K17" s="112"/>
    </row>
    <row r="18" spans="1:11" ht="14.4">
      <c r="A18" s="112"/>
      <c r="B18" s="112"/>
      <c r="C18" s="112"/>
      <c r="D18" s="112"/>
      <c r="E18" s="112"/>
      <c r="F18" s="112"/>
      <c r="G18" s="112"/>
      <c r="H18" s="112"/>
      <c r="I18" s="112"/>
      <c r="J18" s="112"/>
      <c r="K18" s="112"/>
    </row>
    <row r="19" spans="1:11" ht="14.4">
      <c r="A19" s="112"/>
      <c r="B19" s="112"/>
      <c r="C19" s="112"/>
      <c r="D19" s="112"/>
      <c r="E19" s="112"/>
      <c r="F19" s="112"/>
      <c r="G19" s="112"/>
      <c r="H19" s="112"/>
      <c r="I19" s="112"/>
      <c r="J19" s="112"/>
      <c r="K19" s="112"/>
    </row>
    <row r="20" spans="1:11" ht="14.4">
      <c r="A20" s="112"/>
      <c r="B20" s="112"/>
      <c r="C20" s="112"/>
      <c r="D20" s="112"/>
      <c r="E20" s="112"/>
      <c r="F20" s="112"/>
      <c r="G20" s="112"/>
      <c r="H20" s="112"/>
      <c r="I20" s="112"/>
      <c r="J20" s="112"/>
      <c r="K20" s="112"/>
    </row>
    <row r="21" spans="1:11" ht="14.4">
      <c r="A21" s="112"/>
      <c r="B21" s="112"/>
      <c r="C21" s="112"/>
      <c r="D21" s="112"/>
      <c r="E21" s="112"/>
      <c r="F21" s="112"/>
      <c r="G21" s="112"/>
      <c r="H21" s="112"/>
      <c r="I21" s="112"/>
      <c r="J21" s="112"/>
      <c r="K21" s="112"/>
    </row>
    <row r="22" spans="1:11" ht="14.4">
      <c r="A22" s="112"/>
      <c r="B22" s="112"/>
      <c r="C22" s="112"/>
      <c r="D22" s="112"/>
      <c r="E22" s="112"/>
      <c r="F22" s="112"/>
      <c r="G22" s="112"/>
      <c r="H22" s="112"/>
      <c r="I22" s="112"/>
      <c r="J22" s="112"/>
      <c r="K22" s="112"/>
    </row>
    <row r="23" spans="1:11" ht="14.4">
      <c r="A23" s="112"/>
      <c r="B23" s="112"/>
      <c r="C23" s="112"/>
      <c r="D23" s="112"/>
      <c r="E23" s="112"/>
      <c r="F23" s="112"/>
      <c r="G23" s="112"/>
      <c r="H23" s="112"/>
      <c r="I23" s="112"/>
      <c r="J23" s="112"/>
      <c r="K23" s="112"/>
    </row>
    <row r="24" spans="1:11" ht="14.4">
      <c r="A24" s="112"/>
      <c r="B24" s="112"/>
      <c r="C24" s="112"/>
      <c r="D24" s="112"/>
      <c r="E24" s="112"/>
      <c r="F24" s="112"/>
      <c r="G24" s="112"/>
      <c r="H24" s="112"/>
      <c r="I24" s="112"/>
      <c r="J24" s="112"/>
      <c r="K24" s="112"/>
    </row>
    <row r="25" spans="1:11" ht="14.4">
      <c r="A25" s="112"/>
      <c r="B25" s="112"/>
      <c r="C25" s="112"/>
      <c r="D25" s="112"/>
      <c r="E25" s="112"/>
      <c r="F25" s="112"/>
      <c r="G25" s="112"/>
      <c r="H25" s="112"/>
      <c r="I25" s="112"/>
      <c r="J25" s="112"/>
      <c r="K25" s="112"/>
    </row>
    <row r="26" spans="1:11" ht="14.4">
      <c r="A26" s="112"/>
      <c r="B26" s="112"/>
      <c r="C26" s="112"/>
      <c r="D26" s="112"/>
      <c r="E26" s="112"/>
      <c r="F26" s="112"/>
      <c r="G26" s="112"/>
      <c r="H26" s="112"/>
      <c r="I26" s="112"/>
      <c r="J26" s="112"/>
      <c r="K26" s="112"/>
    </row>
    <row r="27" spans="1:11" ht="14.4">
      <c r="A27" s="112"/>
      <c r="B27" s="112"/>
      <c r="C27" s="112"/>
      <c r="D27" s="112"/>
      <c r="E27" s="112"/>
      <c r="F27" s="112"/>
      <c r="G27" s="112"/>
      <c r="H27" s="112"/>
      <c r="I27" s="112"/>
      <c r="J27" s="112"/>
      <c r="K27" s="112"/>
    </row>
    <row r="28" spans="1:11" ht="14.4">
      <c r="A28" s="112"/>
      <c r="B28" s="112"/>
      <c r="C28" s="112"/>
      <c r="D28" s="112"/>
      <c r="E28" s="112"/>
      <c r="F28" s="112"/>
      <c r="G28" s="112"/>
      <c r="H28" s="112"/>
      <c r="I28" s="112"/>
      <c r="J28" s="112"/>
      <c r="K28" s="112"/>
    </row>
    <row r="29" spans="1:11" ht="14.4">
      <c r="A29" s="112"/>
      <c r="B29" s="112"/>
      <c r="C29" s="112"/>
      <c r="D29" s="112"/>
      <c r="E29" s="112"/>
      <c r="F29" s="112"/>
      <c r="G29" s="112"/>
      <c r="H29" s="112"/>
      <c r="I29" s="112"/>
      <c r="J29" s="112"/>
      <c r="K29" s="112"/>
    </row>
    <row r="30" spans="1:11" ht="14.4">
      <c r="A30" s="112"/>
      <c r="B30" s="112"/>
      <c r="C30" s="112"/>
      <c r="D30" s="112"/>
      <c r="E30" s="112"/>
      <c r="F30" s="112"/>
      <c r="G30" s="112"/>
      <c r="H30" s="112"/>
      <c r="I30" s="112"/>
      <c r="J30" s="112"/>
      <c r="K30" s="112"/>
    </row>
    <row r="31" spans="1:11" ht="14.4">
      <c r="A31" s="112"/>
      <c r="B31" s="112"/>
      <c r="C31" s="112"/>
      <c r="D31" s="112"/>
      <c r="E31" s="112"/>
      <c r="F31" s="112"/>
      <c r="G31" s="112"/>
      <c r="H31" s="112"/>
      <c r="I31" s="112"/>
      <c r="J31" s="112"/>
      <c r="K31" s="112"/>
    </row>
    <row r="32" spans="1:11" ht="14.4">
      <c r="A32" s="112"/>
      <c r="B32" s="112"/>
      <c r="C32" s="112"/>
      <c r="D32" s="112"/>
      <c r="E32" s="112"/>
      <c r="F32" s="112"/>
      <c r="G32" s="112"/>
      <c r="H32" s="112"/>
      <c r="I32" s="112"/>
      <c r="J32" s="112"/>
      <c r="K32" s="112"/>
    </row>
    <row r="33" spans="1:11" ht="14.4">
      <c r="A33" s="112"/>
      <c r="B33" s="112"/>
      <c r="C33" s="112"/>
      <c r="D33" s="112"/>
      <c r="E33" s="112"/>
      <c r="F33" s="112"/>
      <c r="G33" s="112"/>
      <c r="H33" s="112"/>
      <c r="I33" s="112"/>
      <c r="J33" s="112"/>
      <c r="K33" s="112"/>
    </row>
    <row r="34" spans="1:11" ht="14.4">
      <c r="A34" s="112"/>
      <c r="B34" s="112"/>
      <c r="C34" s="112"/>
      <c r="D34" s="112"/>
      <c r="E34" s="112"/>
      <c r="F34" s="112"/>
      <c r="G34" s="112"/>
      <c r="H34" s="112"/>
      <c r="I34" s="112"/>
      <c r="J34" s="112"/>
      <c r="K34" s="112"/>
    </row>
    <row r="35" spans="1:11" ht="14.4">
      <c r="A35" s="112"/>
      <c r="B35" s="112"/>
      <c r="C35" s="112"/>
      <c r="D35" s="112"/>
      <c r="E35" s="112"/>
      <c r="F35" s="112"/>
      <c r="G35" s="112"/>
      <c r="H35" s="112"/>
      <c r="I35" s="112"/>
      <c r="J35" s="112"/>
      <c r="K35" s="112"/>
    </row>
    <row r="36" spans="1:11" ht="14.4">
      <c r="A36" s="112"/>
      <c r="B36" s="112"/>
      <c r="C36" s="112"/>
      <c r="D36" s="112"/>
      <c r="E36" s="112"/>
      <c r="F36" s="112"/>
      <c r="G36" s="112"/>
      <c r="H36" s="112"/>
      <c r="I36" s="112"/>
      <c r="J36" s="112"/>
      <c r="K36" s="112"/>
    </row>
    <row r="37" spans="1:11" ht="14.4">
      <c r="A37" s="112"/>
      <c r="B37" s="112"/>
      <c r="C37" s="112"/>
      <c r="D37" s="112"/>
      <c r="E37" s="112"/>
      <c r="F37" s="112"/>
      <c r="G37" s="112"/>
      <c r="H37" s="112"/>
      <c r="I37" s="112"/>
      <c r="J37" s="112"/>
      <c r="K37" s="112"/>
    </row>
    <row r="38" spans="1:11" ht="14.4">
      <c r="A38" s="112"/>
      <c r="B38" s="112"/>
      <c r="C38" s="112"/>
      <c r="D38" s="112"/>
      <c r="E38" s="112"/>
      <c r="F38" s="112"/>
      <c r="G38" s="112"/>
      <c r="H38" s="112"/>
      <c r="I38" s="112"/>
      <c r="J38" s="112"/>
      <c r="K38" s="112"/>
    </row>
    <row r="39" spans="1:11" ht="14.4">
      <c r="A39" s="112"/>
      <c r="B39" s="112"/>
      <c r="C39" s="112"/>
      <c r="D39" s="112"/>
      <c r="E39" s="112"/>
      <c r="F39" s="112"/>
      <c r="G39" s="112"/>
      <c r="H39" s="112"/>
      <c r="I39" s="112"/>
      <c r="J39" s="112"/>
      <c r="K39" s="112"/>
    </row>
    <row r="40" spans="1:11" ht="14.4">
      <c r="A40" s="112"/>
      <c r="B40" s="112"/>
      <c r="C40" s="112"/>
      <c r="D40" s="112"/>
      <c r="E40" s="112"/>
      <c r="F40" s="112"/>
      <c r="G40" s="112"/>
      <c r="H40" s="112"/>
      <c r="I40" s="112"/>
      <c r="J40" s="112"/>
      <c r="K40" s="112"/>
    </row>
    <row r="41" spans="1:11" ht="14.4">
      <c r="A41" s="112"/>
      <c r="B41" s="112"/>
      <c r="C41" s="112"/>
      <c r="D41" s="112"/>
      <c r="E41" s="112"/>
      <c r="F41" s="112"/>
      <c r="G41" s="112"/>
      <c r="H41" s="112"/>
      <c r="I41" s="112"/>
      <c r="J41" s="112"/>
      <c r="K41" s="112"/>
    </row>
    <row r="42" spans="1:11" ht="14.4">
      <c r="A42" s="112"/>
      <c r="B42" s="112"/>
      <c r="C42" s="112"/>
      <c r="D42" s="112"/>
      <c r="E42" s="112"/>
      <c r="F42" s="112"/>
      <c r="G42" s="112"/>
      <c r="H42" s="112"/>
      <c r="I42" s="112"/>
      <c r="J42" s="112"/>
      <c r="K42" s="112"/>
    </row>
    <row r="43" spans="1:11" ht="14.4">
      <c r="A43" s="112"/>
      <c r="B43" s="112"/>
      <c r="C43" s="112"/>
      <c r="D43" s="112"/>
      <c r="E43" s="112"/>
      <c r="F43" s="112"/>
      <c r="G43" s="112"/>
      <c r="H43" s="112"/>
      <c r="I43" s="112"/>
      <c r="J43" s="112"/>
      <c r="K43" s="112"/>
    </row>
    <row r="44" spans="1:11" ht="14.4">
      <c r="A44" s="112"/>
      <c r="B44" s="112"/>
      <c r="C44" s="112"/>
      <c r="D44" s="112"/>
      <c r="E44" s="112"/>
      <c r="F44" s="112"/>
      <c r="G44" s="112"/>
      <c r="H44" s="112"/>
      <c r="I44" s="112"/>
      <c r="J44" s="112"/>
      <c r="K44" s="112"/>
    </row>
    <row r="45" spans="1:11" ht="14.4">
      <c r="A45" s="112"/>
      <c r="B45" s="112"/>
      <c r="C45" s="112"/>
      <c r="D45" s="112"/>
      <c r="E45" s="112"/>
      <c r="F45" s="112"/>
      <c r="G45" s="112"/>
      <c r="H45" s="112"/>
      <c r="I45" s="112"/>
      <c r="J45" s="112"/>
      <c r="K45" s="112"/>
    </row>
    <row r="46" spans="1:11" ht="14.25" customHeight="1">
      <c r="A46" s="112"/>
      <c r="B46" s="112"/>
      <c r="C46" s="112"/>
      <c r="D46" s="112"/>
      <c r="E46" s="112"/>
      <c r="F46" s="112"/>
      <c r="G46" s="112"/>
      <c r="H46" s="112"/>
      <c r="I46" s="112"/>
      <c r="J46" s="112"/>
      <c r="K46" s="112"/>
    </row>
    <row r="47" spans="1:11" ht="14.4" hidden="1">
      <c r="A47" s="112"/>
      <c r="B47" s="112"/>
      <c r="C47" s="112"/>
      <c r="D47" s="112"/>
      <c r="E47" s="112"/>
      <c r="F47" s="112"/>
      <c r="G47" s="112"/>
      <c r="H47" s="112"/>
      <c r="I47" s="112"/>
      <c r="J47" s="112"/>
      <c r="K47" s="112"/>
    </row>
    <row r="48" ht="14.4" hidden="1"/>
  </sheetData>
  <sheetProtection algorithmName="SHA-512" hashValue="gBF4yT5CfuRUbJKJklcGw0ydLSBG0HyxdkmdjsQRT3NkP9aPKFVtvofR5AWFZvijFNUPf8Pw52hRMKGQSJk2UA==" saltValue="d4Fa7+LGW10I3A71gZ47cg==" spinCount="100000" sheet="1" objects="1" scenarios="1"/>
  <mergeCells count="1">
    <mergeCell ref="A3:K4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9"/>
  <sheetViews>
    <sheetView zoomScale="75" zoomScaleNormal="75" workbookViewId="0" topLeftCell="A17">
      <selection pane="topLeft" activeCell="C28" sqref="C28"/>
    </sheetView>
  </sheetViews>
  <sheetFormatPr defaultRowHeight="15"/>
  <cols>
    <col min="5" max="5" width="10.5714285714286" customWidth="1"/>
  </cols>
  <sheetData>
    <row r="1" spans="1:1" ht="14.4">
      <c r="A1" s="60" t="s">
        <v>47</v>
      </c>
    </row>
    <row r="2" spans="1:13" ht="14.4">
      <c r="A2" s="60" t="s">
        <v>54</v>
      </c>
    </row>
    <row r="3" spans="1:1" ht="14.4">
      <c r="A3" s="60"/>
    </row>
    <row r="4" spans="2:12" ht="25.8">
      <c r="B4" s="113" t="s">
        <v>44</v>
      </c>
      <c r="C4" s="113"/>
      <c r="D4" s="113"/>
      <c r="E4" s="113"/>
      <c r="F4" s="113"/>
      <c r="G4" s="113"/>
      <c r="H4" s="113"/>
      <c r="I4" s="113"/>
      <c r="J4" s="113"/>
      <c r="K4" s="113"/>
      <c r="L4" s="113"/>
    </row>
    <row r="5" spans="2:10" ht="15" customHeight="1">
      <c r="B5" s="4"/>
      <c r="C5" s="4"/>
      <c r="D5" s="4"/>
      <c r="E5" s="4"/>
      <c r="F5" s="4"/>
      <c r="G5" s="4"/>
      <c r="H5" s="4"/>
      <c r="I5" s="4"/>
      <c r="J5" s="4"/>
    </row>
    <row r="6" spans="2:12" ht="14.4">
      <c r="B6" s="114" t="s">
        <v>45</v>
      </c>
      <c r="C6" s="114"/>
      <c r="D6" s="114"/>
      <c r="E6" s="30"/>
      <c r="F6" s="30"/>
      <c r="G6" s="30"/>
      <c r="H6" s="30"/>
      <c r="I6" s="30"/>
      <c r="J6" t="s">
        <v>31</v>
      </c>
      <c r="K6" s="30"/>
      <c r="L6" s="30"/>
    </row>
    <row r="7" spans="2:10" ht="14.4">
      <c r="B7" s="114" t="s">
        <v>46</v>
      </c>
      <c r="C7" s="114"/>
      <c r="D7" s="114"/>
      <c r="E7" s="59"/>
      <c r="F7" s="59"/>
      <c r="G7" s="59"/>
      <c r="H7" s="59"/>
      <c r="I7" s="59"/>
      <c r="J7" t="s">
        <v>36</v>
      </c>
    </row>
    <row r="8" spans="2:11" ht="14.4">
      <c r="B8" s="65"/>
      <c r="C8" s="65"/>
      <c r="D8" s="64" t="s">
        <v>9</v>
      </c>
      <c r="E8" s="59"/>
      <c r="F8" s="59"/>
      <c r="G8" s="59"/>
      <c r="H8" s="59"/>
      <c r="I8" s="59"/>
      <c r="J8" t="s">
        <v>32</v>
      </c>
      <c r="K8" t="s">
        <v>33</v>
      </c>
    </row>
    <row r="9" spans="1:11" ht="14.4">
      <c r="A9" s="28"/>
      <c r="B9" s="65"/>
      <c r="C9" s="65"/>
      <c r="D9" s="64" t="s">
        <v>10</v>
      </c>
      <c r="E9" s="44"/>
      <c r="F9" s="7"/>
      <c r="J9" s="30"/>
      <c r="K9" s="30"/>
    </row>
    <row r="10" spans="1:1" ht="15" thickBot="1">
      <c r="A10" s="28"/>
    </row>
    <row r="11" spans="1:5" ht="15.6" thickTop="1" thickBot="1">
      <c r="A11" s="115" t="e">
        <f>IF(AND($C$38&gt;0.975,$H$33&gt;=19),"Experiment: PASSED","Experiment: FAILED (See Note Below**)")</f>
        <v>#DIV/0!</v>
      </c>
      <c r="B11" s="116"/>
      <c r="C11" s="116"/>
      <c r="D11" s="116"/>
      <c r="E11" s="117"/>
    </row>
    <row r="12" spans="1:8" ht="15.6" thickTop="1" thickBot="1">
      <c r="A12" s="71" t="s">
        <v>0</v>
      </c>
      <c r="B12" s="109" t="s">
        <v>1</v>
      </c>
      <c r="C12" s="109" t="s">
        <v>2</v>
      </c>
      <c r="D12" s="72" t="s">
        <v>37</v>
      </c>
      <c r="E12" s="72" t="s">
        <v>38</v>
      </c>
      <c r="F12" s="67" t="s">
        <v>41</v>
      </c>
      <c r="G12" s="67" t="s">
        <v>42</v>
      </c>
      <c r="H12" s="68" t="s">
        <v>30</v>
      </c>
    </row>
    <row r="13" spans="1:8" ht="15" thickTop="1">
      <c r="A13" s="70">
        <v>1</v>
      </c>
      <c r="B13" s="61"/>
      <c r="C13" s="61"/>
      <c r="D13" s="73">
        <f>C13-B13</f>
        <v>0</v>
      </c>
      <c r="E13" s="74" t="e">
        <f>IF($J$9&gt;B13*($K$9/100),D13/$J$9,D13/(B13*($K$9/100)))</f>
        <v>#DIV/0!</v>
      </c>
      <c r="F13" s="28">
        <f>IF(B13+$J$9&gt;B13*((100+$K$9)/100),B13+$J$9,B13*((100+$K$9)/100))</f>
        <v>0</v>
      </c>
      <c r="G13" s="28">
        <f>IF(B13-$J$9&lt;B13*((100-$K$9)/100),B13-$J$9,B13*((100-$K$9)/100))</f>
        <v>0</v>
      </c>
      <c r="H13" s="69" t="e">
        <f>IF(AND(E13&gt;=-1,E13&lt;=1),1,0)</f>
        <v>#DIV/0!</v>
      </c>
    </row>
    <row r="14" spans="1:8" ht="14.4">
      <c r="A14" s="66">
        <f>A13+1</f>
        <v>2</v>
      </c>
      <c r="B14" s="61"/>
      <c r="C14" s="61"/>
      <c r="D14" s="73">
        <f>C14-B14</f>
        <v>0</v>
      </c>
      <c r="E14" s="74" t="e">
        <f>IF($J$9&gt;B14*($K$9/100),D14/$J$9,D14/(B14*($K$9/100)))</f>
        <v>#DIV/0!</v>
      </c>
      <c r="F14" s="28">
        <f>IF(B14+$J$9&gt;B14*((100+$K$9)/100),B14+$J$9,B14*((100+$K$9)/100))</f>
        <v>0</v>
      </c>
      <c r="G14" s="28">
        <f>IF(B14-$J$9&lt;B14*((100-$K$9)/100),B14-$J$9,B14*((100-$K$9)/100))</f>
        <v>0</v>
      </c>
      <c r="H14" s="69" t="e">
        <f>IF(AND(E14&gt;=-1,E14&lt;=1),1,0)</f>
        <v>#DIV/0!</v>
      </c>
    </row>
    <row r="15" spans="1:8" ht="14.4">
      <c r="A15" s="66">
        <f>A14+1</f>
        <v>3</v>
      </c>
      <c r="B15" s="61"/>
      <c r="C15" s="61"/>
      <c r="D15" s="73">
        <f>C15-B15</f>
        <v>0</v>
      </c>
      <c r="E15" s="74" t="e">
        <f>IF($J$9&gt;B15*($K$9/100),D15/$J$9,D15/(B15*($K$9/100)))</f>
        <v>#DIV/0!</v>
      </c>
      <c r="F15" s="28">
        <f>IF(B15+$J$9&gt;B15*((100+$K$9)/100),B15+$J$9,B15*((100+$K$9)/100))</f>
        <v>0</v>
      </c>
      <c r="G15" s="28">
        <f>IF(B15-$J$9&lt;B15*((100-$K$9)/100),B15-$J$9,B15*((100-$K$9)/100))</f>
        <v>0</v>
      </c>
      <c r="H15" s="69" t="e">
        <f>IF(AND(E15&gt;=-1,E15&lt;=1),1,0)</f>
        <v>#DIV/0!</v>
      </c>
    </row>
    <row r="16" spans="1:8" ht="14.4">
      <c r="A16" s="66">
        <f>A15+1</f>
        <v>4</v>
      </c>
      <c r="B16" s="61"/>
      <c r="C16" s="61"/>
      <c r="D16" s="73">
        <f>C16-B16</f>
        <v>0</v>
      </c>
      <c r="E16" s="74" t="e">
        <f>IF($J$9&gt;B16*($K$9/100),D16/$J$9,D16/(B16*($K$9/100)))</f>
        <v>#DIV/0!</v>
      </c>
      <c r="F16" s="28">
        <f>IF(B16+$J$9&gt;B16*((100+$K$9)/100),B16+$J$9,B16*((100+$K$9)/100))</f>
        <v>0</v>
      </c>
      <c r="G16" s="28">
        <f>IF(B16-$J$9&lt;B16*((100-$K$9)/100),B16-$J$9,B16*((100-$K$9)/100))</f>
        <v>0</v>
      </c>
      <c r="H16" s="69" t="e">
        <f>IF(AND(E16&gt;=-1,E16&lt;=1),1,0)</f>
        <v>#DIV/0!</v>
      </c>
    </row>
    <row r="17" spans="1:8" ht="14.4">
      <c r="A17" s="66">
        <f>A16+1</f>
        <v>5</v>
      </c>
      <c r="B17" s="61"/>
      <c r="C17" s="61"/>
      <c r="D17" s="73">
        <f>C17-B17</f>
        <v>0</v>
      </c>
      <c r="E17" s="74" t="e">
        <f>IF($J$9&gt;B17*($K$9/100),D17/$J$9,D17/(B17*($K$9/100)))</f>
        <v>#DIV/0!</v>
      </c>
      <c r="F17" s="28">
        <f>IF(B17+$J$9&gt;B17*((100+$K$9)/100),B17+$J$9,B17*((100+$K$9)/100))</f>
        <v>0</v>
      </c>
      <c r="G17" s="28">
        <f>IF(B17-$J$9&lt;B17*((100-$K$9)/100),B17-$J$9,B17*((100-$K$9)/100))</f>
        <v>0</v>
      </c>
      <c r="H17" s="69" t="e">
        <f>IF(AND(E17&gt;=-1,E17&lt;=1),1,0)</f>
        <v>#DIV/0!</v>
      </c>
    </row>
    <row r="18" spans="1:8" ht="14.4">
      <c r="A18" s="66">
        <f>A17+1</f>
        <v>6</v>
      </c>
      <c r="B18" s="61"/>
      <c r="C18" s="61"/>
      <c r="D18" s="73">
        <f>C18-B18</f>
        <v>0</v>
      </c>
      <c r="E18" s="74" t="e">
        <f>IF($J$9&gt;B18*($K$9/100),D18/$J$9,D18/(B18*($K$9/100)))</f>
        <v>#DIV/0!</v>
      </c>
      <c r="F18" s="28">
        <f>IF(B18+$J$9&gt;B18*((100+$K$9)/100),B18+$J$9,B18*((100+$K$9)/100))</f>
        <v>0</v>
      </c>
      <c r="G18" s="28">
        <f>IF(B18-$J$9&lt;B18*((100-$K$9)/100),B18-$J$9,B18*((100-$K$9)/100))</f>
        <v>0</v>
      </c>
      <c r="H18" s="69" t="e">
        <f>IF(AND(E18&gt;=-1,E18&lt;=1),1,0)</f>
        <v>#DIV/0!</v>
      </c>
    </row>
    <row r="19" spans="1:8" ht="14.4">
      <c r="A19" s="66">
        <f>A18+1</f>
        <v>7</v>
      </c>
      <c r="B19" s="61"/>
      <c r="C19" s="61"/>
      <c r="D19" s="73">
        <f>C19-B19</f>
        <v>0</v>
      </c>
      <c r="E19" s="74" t="e">
        <f>IF($J$9&gt;B19*($K$9/100),D19/$J$9,D19/(B19*($K$9/100)))</f>
        <v>#DIV/0!</v>
      </c>
      <c r="F19" s="28">
        <f>IF(B19+$J$9&gt;B19*((100+$K$9)/100),B19+$J$9,B19*((100+$K$9)/100))</f>
        <v>0</v>
      </c>
      <c r="G19" s="28">
        <f>IF(B19-$J$9&lt;B19*((100-$K$9)/100),B19-$J$9,B19*((100-$K$9)/100))</f>
        <v>0</v>
      </c>
      <c r="H19" s="69" t="e">
        <f>IF(AND(E19&gt;=-1,E19&lt;=1),1,0)</f>
        <v>#DIV/0!</v>
      </c>
    </row>
    <row r="20" spans="1:8" ht="14.4">
      <c r="A20" s="66">
        <f>A19+1</f>
        <v>8</v>
      </c>
      <c r="B20" s="61"/>
      <c r="C20" s="61"/>
      <c r="D20" s="73">
        <f>C20-B20</f>
        <v>0</v>
      </c>
      <c r="E20" s="74" t="e">
        <f>IF($J$9&gt;B20*($K$9/100),D20/$J$9,D20/(B20*($K$9/100)))</f>
        <v>#DIV/0!</v>
      </c>
      <c r="F20" s="28">
        <f>IF(B20+$J$9&gt;B20*((100+$K$9)/100),B20+$J$9,B20*((100+$K$9)/100))</f>
        <v>0</v>
      </c>
      <c r="G20" s="28">
        <f>IF(B20-$J$9&lt;B20*((100-$K$9)/100),B20-$J$9,B20*((100-$K$9)/100))</f>
        <v>0</v>
      </c>
      <c r="H20" s="69" t="e">
        <f>IF(AND(E20&gt;=-1,E20&lt;=1),1,0)</f>
        <v>#DIV/0!</v>
      </c>
    </row>
    <row r="21" spans="1:8" ht="14.4">
      <c r="A21" s="66">
        <f>A20+1</f>
        <v>9</v>
      </c>
      <c r="B21" s="61"/>
      <c r="C21" s="61"/>
      <c r="D21" s="73">
        <f>C21-B21</f>
        <v>0</v>
      </c>
      <c r="E21" s="74" t="e">
        <f>IF($J$9&gt;B21*($K$9/100),D21/$J$9,D21/(B21*($K$9/100)))</f>
        <v>#DIV/0!</v>
      </c>
      <c r="F21" s="28">
        <f>IF(B21+$J$9&gt;B21*((100+$K$9)/100),B21+$J$9,B21*((100+$K$9)/100))</f>
        <v>0</v>
      </c>
      <c r="G21" s="28">
        <f>IF(B21-$J$9&lt;B21*((100-$K$9)/100),B21-$J$9,B21*((100-$K$9)/100))</f>
        <v>0</v>
      </c>
      <c r="H21" s="69" t="e">
        <f>IF(AND(E21&gt;=-1,E21&lt;=1),1,0)</f>
        <v>#DIV/0!</v>
      </c>
    </row>
    <row r="22" spans="1:8" ht="14.4">
      <c r="A22" s="66">
        <f>A21+1</f>
        <v>10</v>
      </c>
      <c r="B22" s="61"/>
      <c r="C22" s="61"/>
      <c r="D22" s="73">
        <f>C22-B22</f>
        <v>0</v>
      </c>
      <c r="E22" s="74" t="e">
        <f>IF($J$9&gt;B22*($K$9/100),D22/$J$9,D22/(B22*($K$9/100)))</f>
        <v>#DIV/0!</v>
      </c>
      <c r="F22" s="28">
        <f>IF(B22+$J$9&gt;B22*((100+$K$9)/100),B22+$J$9,B22*((100+$K$9)/100))</f>
        <v>0</v>
      </c>
      <c r="G22" s="28">
        <f>IF(B22-$J$9&lt;B22*((100-$K$9)/100),B22-$J$9,B22*((100-$K$9)/100))</f>
        <v>0</v>
      </c>
      <c r="H22" s="69" t="e">
        <f>IF(AND(E22&gt;=-1,E22&lt;=1),1,0)</f>
        <v>#DIV/0!</v>
      </c>
    </row>
    <row r="23" spans="1:8" ht="14.4">
      <c r="A23" s="66">
        <f>A22+1</f>
        <v>11</v>
      </c>
      <c r="B23" s="61"/>
      <c r="C23" s="61"/>
      <c r="D23" s="73">
        <f>C23-B23</f>
        <v>0</v>
      </c>
      <c r="E23" s="74" t="e">
        <f>IF($J$9&gt;B23*($K$9/100),D23/$J$9,D23/(B23*($K$9/100)))</f>
        <v>#DIV/0!</v>
      </c>
      <c r="F23" s="28">
        <f>IF(B23+$J$9&gt;B23*((100+$K$9)/100),B23+$J$9,B23*((100+$K$9)/100))</f>
        <v>0</v>
      </c>
      <c r="G23" s="28">
        <f>IF(B23-$J$9&lt;B23*((100-$K$9)/100),B23-$J$9,B23*((100-$K$9)/100))</f>
        <v>0</v>
      </c>
      <c r="H23" s="69" t="e">
        <f>IF(AND(E23&gt;=-1,E23&lt;=1),1,0)</f>
        <v>#DIV/0!</v>
      </c>
    </row>
    <row r="24" spans="1:8" ht="14.4">
      <c r="A24" s="66">
        <f>A23+1</f>
        <v>12</v>
      </c>
      <c r="B24" s="61"/>
      <c r="C24" s="61"/>
      <c r="D24" s="73">
        <f>C24-B24</f>
        <v>0</v>
      </c>
      <c r="E24" s="74" t="e">
        <f>IF($J$9&gt;B24*($K$9/100),D24/$J$9,D24/(B24*($K$9/100)))</f>
        <v>#DIV/0!</v>
      </c>
      <c r="F24" s="28">
        <f>IF(B24+$J$9&gt;B24*((100+$K$9)/100),B24+$J$9,B24*((100+$K$9)/100))</f>
        <v>0</v>
      </c>
      <c r="G24" s="28">
        <f>IF(B24-$J$9&lt;B24*((100-$K$9)/100),B24-$J$9,B24*((100-$K$9)/100))</f>
        <v>0</v>
      </c>
      <c r="H24" s="69" t="e">
        <f>IF(AND(E24&gt;=-1,E24&lt;=1),1,0)</f>
        <v>#DIV/0!</v>
      </c>
    </row>
    <row r="25" spans="1:8" ht="14.4">
      <c r="A25" s="66">
        <f>A24+1</f>
        <v>13</v>
      </c>
      <c r="B25" s="61"/>
      <c r="C25" s="61"/>
      <c r="D25" s="73">
        <f>C25-B25</f>
        <v>0</v>
      </c>
      <c r="E25" s="74" t="e">
        <f>IF($J$9&gt;B25*($K$9/100),D25/$J$9,D25/(B25*($K$9/100)))</f>
        <v>#DIV/0!</v>
      </c>
      <c r="F25" s="28">
        <f>IF(B25+$J$9&gt;B25*((100+$K$9)/100),B25+$J$9,B25*((100+$K$9)/100))</f>
        <v>0</v>
      </c>
      <c r="G25" s="28">
        <f>IF(B25-$J$9&lt;B25*((100-$K$9)/100),B25-$J$9,B25*((100-$K$9)/100))</f>
        <v>0</v>
      </c>
      <c r="H25" s="69" t="e">
        <f>IF(AND(E25&gt;=-1,E25&lt;=1),1,0)</f>
        <v>#DIV/0!</v>
      </c>
    </row>
    <row r="26" spans="1:8" ht="14.4">
      <c r="A26" s="66">
        <f>A25+1</f>
        <v>14</v>
      </c>
      <c r="B26" s="61"/>
      <c r="C26" s="61"/>
      <c r="D26" s="73">
        <f>C26-B26</f>
        <v>0</v>
      </c>
      <c r="E26" s="74" t="e">
        <f>IF($J$9&gt;B26*($K$9/100),D26/$J$9,D26/(B26*($K$9/100)))</f>
        <v>#DIV/0!</v>
      </c>
      <c r="F26" s="28">
        <f>IF(B26+$J$9&gt;B26*((100+$K$9)/100),B26+$J$9,B26*((100+$K$9)/100))</f>
        <v>0</v>
      </c>
      <c r="G26" s="28">
        <f>IF(B26-$J$9&lt;B26*((100-$K$9)/100),B26-$J$9,B26*((100-$K$9)/100))</f>
        <v>0</v>
      </c>
      <c r="H26" s="69" t="e">
        <f>IF(AND(E26&gt;=-1,E26&lt;=1),1,0)</f>
        <v>#DIV/0!</v>
      </c>
    </row>
    <row r="27" spans="1:8" ht="14.4">
      <c r="A27" s="66">
        <f>A26+1</f>
        <v>15</v>
      </c>
      <c r="B27" s="61"/>
      <c r="C27" s="61"/>
      <c r="D27" s="73">
        <f>C27-B27</f>
        <v>0</v>
      </c>
      <c r="E27" s="74" t="e">
        <f>IF($J$9&gt;B27*($K$9/100),D27/$J$9,D27/(B27*($K$9/100)))</f>
        <v>#DIV/0!</v>
      </c>
      <c r="F27" s="28">
        <f>IF(B27+$J$9&gt;B27*((100+$K$9)/100),B27+$J$9,B27*((100+$K$9)/100))</f>
        <v>0</v>
      </c>
      <c r="G27" s="28">
        <f>IF(B27-$J$9&lt;B27*((100-$K$9)/100),B27-$J$9,B27*((100-$K$9)/100))</f>
        <v>0</v>
      </c>
      <c r="H27" s="69" t="e">
        <f>IF(AND(E27&gt;=-1,E27&lt;=1),1,0)</f>
        <v>#DIV/0!</v>
      </c>
    </row>
    <row r="28" spans="1:8" ht="14.4">
      <c r="A28" s="66">
        <f>A27+1</f>
        <v>16</v>
      </c>
      <c r="B28" s="61"/>
      <c r="C28" s="61"/>
      <c r="D28" s="73">
        <f>C28-B28</f>
        <v>0</v>
      </c>
      <c r="E28" s="74" t="e">
        <f>IF($J$9&gt;B28*($K$9/100),D28/$J$9,D28/(B28*($K$9/100)))</f>
        <v>#DIV/0!</v>
      </c>
      <c r="F28" s="28">
        <f>IF(B28+$J$9&gt;B28*((100+$K$9)/100),B28+$J$9,B28*((100+$K$9)/100))</f>
        <v>0</v>
      </c>
      <c r="G28" s="28">
        <f>IF(B28-$J$9&lt;B28*((100-$K$9)/100),B28-$J$9,B28*((100-$K$9)/100))</f>
        <v>0</v>
      </c>
      <c r="H28" s="69" t="e">
        <f>IF(AND(E28&gt;=-1,E28&lt;=1),1,0)</f>
        <v>#DIV/0!</v>
      </c>
    </row>
    <row r="29" spans="1:8" ht="14.4">
      <c r="A29" s="66">
        <f>A28+1</f>
        <v>17</v>
      </c>
      <c r="B29" s="61"/>
      <c r="C29" s="61"/>
      <c r="D29" s="73">
        <f>C29-B29</f>
        <v>0</v>
      </c>
      <c r="E29" s="74" t="e">
        <f>IF($J$9&gt;B29*($K$9/100),D29/$J$9,D29/(B29*($K$9/100)))</f>
        <v>#DIV/0!</v>
      </c>
      <c r="F29" s="28">
        <f>IF(B29+$J$9&gt;B29*((100+$K$9)/100),B29+$J$9,B29*((100+$K$9)/100))</f>
        <v>0</v>
      </c>
      <c r="G29" s="28">
        <f>IF(B29-$J$9&lt;B29*((100-$K$9)/100),B29-$J$9,B29*((100-$K$9)/100))</f>
        <v>0</v>
      </c>
      <c r="H29" s="69" t="e">
        <f>IF(AND(E29&gt;=-1,E29&lt;=1),1,0)</f>
        <v>#DIV/0!</v>
      </c>
    </row>
    <row r="30" spans="1:8" ht="14.4">
      <c r="A30" s="66">
        <f>A29+1</f>
        <v>18</v>
      </c>
      <c r="B30" s="61"/>
      <c r="C30" s="61"/>
      <c r="D30" s="73">
        <f>C30-B30</f>
        <v>0</v>
      </c>
      <c r="E30" s="74" t="e">
        <f>IF($J$9&gt;B30*($K$9/100),D30/$J$9,D30/(B30*($K$9/100)))</f>
        <v>#DIV/0!</v>
      </c>
      <c r="F30" s="28">
        <f>IF(B30+$J$9&gt;B30*((100+$K$9)/100),B30+$J$9,B30*((100+$K$9)/100))</f>
        <v>0</v>
      </c>
      <c r="G30" s="28">
        <f>IF(B30-$J$9&lt;B30*((100-$K$9)/100),B30-$J$9,B30*((100-$K$9)/100))</f>
        <v>0</v>
      </c>
      <c r="H30" s="69" t="e">
        <f>IF(AND(E30&gt;=-1,E30&lt;=1),1,0)</f>
        <v>#DIV/0!</v>
      </c>
    </row>
    <row r="31" spans="1:8" ht="14.4">
      <c r="A31" s="66">
        <f>A30+1</f>
        <v>19</v>
      </c>
      <c r="B31" s="61"/>
      <c r="C31" s="61"/>
      <c r="D31" s="73">
        <f>C31-B31</f>
        <v>0</v>
      </c>
      <c r="E31" s="74" t="e">
        <f>IF($J$9&gt;B31*($K$9/100),D31/$J$9,D31/(B31*($K$9/100)))</f>
        <v>#DIV/0!</v>
      </c>
      <c r="F31" s="28">
        <f>IF(B31+$J$9&gt;B31*((100+$K$9)/100),B31+$J$9,B31*((100+$K$9)/100))</f>
        <v>0</v>
      </c>
      <c r="G31" s="28">
        <f>IF(B31-$J$9&lt;B31*((100-$K$9)/100),B31-$J$9,B31*((100-$K$9)/100))</f>
        <v>0</v>
      </c>
      <c r="H31" s="69" t="e">
        <f>IF(AND(E31&gt;=-1,E31&lt;=1),1,0)</f>
        <v>#DIV/0!</v>
      </c>
    </row>
    <row r="32" spans="1:8" ht="14.4">
      <c r="A32" s="66">
        <f>A31+1</f>
        <v>20</v>
      </c>
      <c r="B32" s="61"/>
      <c r="C32" s="61"/>
      <c r="D32" s="73">
        <f>C32-B32</f>
        <v>0</v>
      </c>
      <c r="E32" s="74" t="e">
        <f>IF($J$9&gt;B32*($K$9/100),D32/$J$9,D32/(B32*($K$9/100)))</f>
        <v>#DIV/0!</v>
      </c>
      <c r="F32" s="28">
        <f>IF(B32+$J$9&gt;B32*((100+$K$9)/100),B32+$J$9,B32*((100+$K$9)/100))</f>
        <v>0</v>
      </c>
      <c r="G32" s="28">
        <f>IF(B32-$J$9&lt;B32*((100-$K$9)/100),B32-$J$9,B32*((100-$K$9)/100))</f>
        <v>0</v>
      </c>
      <c r="H32" s="69" t="e">
        <f>IF(AND(E32&gt;=-1,E32&lt;=1),1,0)</f>
        <v>#DIV/0!</v>
      </c>
    </row>
    <row r="33" spans="1:8" ht="14.4">
      <c r="A33" s="75" t="s">
        <v>4</v>
      </c>
      <c r="B33" s="110" t="e">
        <f>AVERAGE(B13:B32)</f>
        <v>#DIV/0!</v>
      </c>
      <c r="C33" s="110" t="e">
        <f>AVERAGE(C13:C32)</f>
        <v>#DIV/0!</v>
      </c>
      <c r="D33" s="73">
        <f>AVERAGE(D13:D32)</f>
        <v>0</v>
      </c>
      <c r="E33" s="74" t="e">
        <f>AVERAGE(E13:E32)</f>
        <v>#DIV/0!</v>
      </c>
      <c r="F33" s="28"/>
      <c r="G33" s="28"/>
      <c r="H33" s="69" t="e">
        <f>SUM(H13:H32)</f>
        <v>#DIV/0!</v>
      </c>
    </row>
    <row r="34" spans="1:14" ht="15" customHeight="1">
      <c r="A34" s="75" t="s">
        <v>39</v>
      </c>
      <c r="B34" s="73">
        <f>MIN(B13:B32)</f>
        <v>0</v>
      </c>
      <c r="C34" s="73">
        <f>MIN(C13:C32)</f>
        <v>0</v>
      </c>
      <c r="D34" s="73">
        <f>MIN(D13:D32)</f>
        <v>0</v>
      </c>
      <c r="E34" s="74" t="e">
        <f>MIN(E13:E32)</f>
        <v>#DIV/0!</v>
      </c>
      <c r="F34" s="119" t="e">
        <f>IF($H$33&lt;19,"**Greater than 5% of the error indices are unacceptable. Consider possible cause of inaccuracy, troubleshoot before repeating accuracy studies","")</f>
        <v>#DIV/0!</v>
      </c>
      <c r="G34" s="119"/>
      <c r="H34" s="119"/>
      <c r="I34" s="119"/>
      <c r="J34" s="119"/>
      <c r="K34" s="119"/>
      <c r="L34" s="119"/>
      <c r="M34" s="119"/>
      <c r="N34" s="119"/>
    </row>
    <row r="35" spans="1:14" ht="14.4">
      <c r="A35" s="75" t="s">
        <v>40</v>
      </c>
      <c r="B35" s="73">
        <f>MAX(B13:B32)</f>
        <v>0</v>
      </c>
      <c r="C35" s="73">
        <f>MAX(C13:C32)</f>
        <v>0</v>
      </c>
      <c r="D35" s="73">
        <f>MAX(D13:D32)</f>
        <v>0</v>
      </c>
      <c r="E35" s="74" t="e">
        <f>MAX(E13:E32)</f>
        <v>#DIV/0!</v>
      </c>
      <c r="F35" s="119"/>
      <c r="G35" s="119"/>
      <c r="H35" s="119"/>
      <c r="I35" s="119"/>
      <c r="J35" s="119"/>
      <c r="K35" s="119"/>
      <c r="L35" s="119"/>
      <c r="M35" s="119"/>
      <c r="N35" s="119"/>
    </row>
    <row r="36" spans="1:14" ht="14.4">
      <c r="A36" s="120" t="s">
        <v>11</v>
      </c>
      <c r="B36" s="120"/>
      <c r="C36" s="63" t="e">
        <f>SLOPE(C13:C32,B13:B32)</f>
        <v>#DIV/0!</v>
      </c>
      <c r="D36" s="62"/>
      <c r="E36" s="62"/>
      <c r="F36" s="58"/>
      <c r="G36" s="58"/>
      <c r="H36" s="58"/>
      <c r="I36" s="58"/>
      <c r="J36" s="58"/>
      <c r="K36" s="58"/>
      <c r="L36" s="58"/>
      <c r="M36" s="58"/>
      <c r="N36" s="58"/>
    </row>
    <row r="37" spans="1:5" ht="14.4">
      <c r="A37" s="120" t="s">
        <v>12</v>
      </c>
      <c r="B37" s="120"/>
      <c r="C37" s="63" t="e">
        <f>INTERCEPT(C13:C32,B13:B32)</f>
        <v>#DIV/0!</v>
      </c>
      <c r="D37" s="62"/>
      <c r="E37" s="62"/>
    </row>
    <row r="38" spans="1:8" ht="16.5" customHeight="1">
      <c r="A38" s="120" t="s">
        <v>43</v>
      </c>
      <c r="B38" s="120"/>
      <c r="C38" s="63" t="e">
        <f>CORREL(B13:B32,C13:C32)</f>
        <v>#DIV/0!</v>
      </c>
      <c r="D38" s="121" t="e">
        <f>IF(C38&lt;0.975,"**Correlation Coefficient is too low. Troubleshoot Assay and re-analyse specimens","")</f>
        <v>#DIV/0!</v>
      </c>
      <c r="E38" s="121"/>
      <c r="F38" s="121"/>
      <c r="G38" s="121"/>
      <c r="H38" s="121"/>
    </row>
    <row r="39" spans="1:8" ht="14.4">
      <c r="A39" s="118"/>
      <c r="B39" s="118"/>
      <c r="C39" s="11"/>
      <c r="D39" s="121"/>
      <c r="E39" s="121"/>
      <c r="F39" s="121"/>
      <c r="G39" s="121"/>
      <c r="H39" s="121"/>
    </row>
  </sheetData>
  <sheetProtection algorithmName="SHA-512" hashValue="uE3l3kq2OqZLJ9UJ4XKU2OnEJi/ayonxFuAv+u2KM/c9mI9g1sp8vH8oXqpoae+ulfluz+DuuuaWHn0xFAZDGQ==" saltValue="yZp8ZJQ81t8nZvwS3/wNVA==" spinCount="100000" sheet="1" selectLockedCells="1"/>
  <mergeCells count="10">
    <mergeCell ref="B4:L4"/>
    <mergeCell ref="B6:D6"/>
    <mergeCell ref="B7:D7"/>
    <mergeCell ref="A11:E11"/>
    <mergeCell ref="A39:B39"/>
    <mergeCell ref="F34:N35"/>
    <mergeCell ref="A36:B36"/>
    <mergeCell ref="A37:B37"/>
    <mergeCell ref="A38:B38"/>
    <mergeCell ref="D38:H39"/>
  </mergeCells>
  <conditionalFormatting sqref="A11">
    <cfRule type="cellIs" priority="3" dxfId="7" operator="equal" stopIfTrue="1">
      <formula>"Experiment: FAILED (See Note Below**)"</formula>
    </cfRule>
    <cfRule type="cellIs" priority="4" dxfId="6" operator="equal" stopIfTrue="1">
      <formula>"Experiment: PASSED"</formula>
    </cfRule>
  </conditionalFormatting>
  <conditionalFormatting sqref="C38">
    <cfRule type="cellIs" priority="5" dxfId="2" operator="lessThan" stopIfTrue="1">
      <formula>0.975</formula>
    </cfRule>
  </conditionalFormatting>
  <conditionalFormatting sqref="D38">
    <cfRule type="cellIs" priority="2" dxfId="1" operator="notEqual" stopIfTrue="1">
      <formula>""""""</formula>
    </cfRule>
  </conditionalFormatting>
  <conditionalFormatting sqref="E13:E35">
    <cfRule type="cellIs" priority="6" dxfId="2" operator="lessThan" stopIfTrue="1">
      <formula>-1</formula>
    </cfRule>
    <cfRule type="cellIs" priority="7" dxfId="2" operator="greaterThan" stopIfTrue="1">
      <formula>1</formula>
    </cfRule>
  </conditionalFormatting>
  <conditionalFormatting sqref="F34:N36">
    <cfRule type="cellIs" priority="1" dxfId="1" operator="notEqual" stopIfTrue="1">
      <formula>""""""</formula>
    </cfRule>
  </conditionalFormatting>
  <pageMargins left="0.7" right="0.7" top="0.75" bottom="0.75" header="0.3" footer="0.3"/>
  <pageSetup horizontalDpi="300" verticalDpi="300" orientation="portrait" scale="69"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4A205-ED06-4607-9F37-3EEB9DD5AE41}">
  <dimension ref="A1:S57"/>
  <sheetViews>
    <sheetView tabSelected="1" workbookViewId="0" topLeftCell="A22">
      <selection pane="topLeft" activeCell="C42" sqref="C42"/>
    </sheetView>
  </sheetViews>
  <sheetFormatPr defaultRowHeight="15"/>
  <cols>
    <col min="1" max="1" width="5.42857142857143" customWidth="1"/>
    <col min="2" max="2" width="6.71428571428571" customWidth="1"/>
    <col min="3" max="4" width="6.71428571428571" bestFit="1" customWidth="1"/>
    <col min="5" max="5" width="8.57142857142857" customWidth="1"/>
    <col min="9" max="9" width="3.71428571428571" customWidth="1"/>
    <col min="10" max="10" width="5.71428571428571" customWidth="1"/>
    <col min="11" max="11" width="7.71428571428571" customWidth="1"/>
    <col min="12" max="12" width="3.42857142857143" customWidth="1"/>
    <col min="13" max="13" width="11" customWidth="1"/>
  </cols>
  <sheetData>
    <row r="1" spans="1:1" ht="14.4">
      <c r="A1" s="60" t="s">
        <v>47</v>
      </c>
    </row>
    <row r="2" spans="1:1" ht="14.4">
      <c r="A2" s="60" t="s">
        <v>55</v>
      </c>
    </row>
    <row r="3" spans="1:12" ht="12" customHeight="1">
      <c r="B3" s="124" t="s">
        <v>44</v>
      </c>
      <c r="C3" s="124"/>
      <c r="D3" s="124"/>
      <c r="E3" s="124"/>
      <c r="F3" s="124"/>
      <c r="G3" s="124"/>
      <c r="H3" s="124"/>
      <c r="I3" s="124"/>
      <c r="J3" s="124"/>
      <c r="K3" s="124"/>
      <c r="L3" s="124"/>
    </row>
    <row r="4" spans="2:12" ht="12" customHeight="1">
      <c r="B4" s="77"/>
      <c r="C4" s="77"/>
      <c r="D4" s="77"/>
      <c r="E4" s="77"/>
      <c r="F4" s="77"/>
      <c r="G4" s="77"/>
      <c r="H4" s="77"/>
      <c r="I4" s="77"/>
      <c r="J4" s="77"/>
      <c r="K4" s="77"/>
      <c r="L4" s="77"/>
    </row>
    <row r="5" spans="2:13" ht="12" customHeight="1">
      <c r="B5" s="125" t="s">
        <v>45</v>
      </c>
      <c r="C5" s="125"/>
      <c r="D5" s="125"/>
      <c r="E5" s="79"/>
      <c r="F5" s="79"/>
      <c r="G5" s="79"/>
      <c r="H5" s="79"/>
      <c r="I5" s="79"/>
      <c r="J5" s="80" t="s">
        <v>31</v>
      </c>
      <c r="K5" s="81"/>
      <c r="L5" s="79"/>
      <c r="M5" s="82"/>
    </row>
    <row r="6" spans="2:13" ht="12" customHeight="1">
      <c r="B6" s="125" t="s">
        <v>46</v>
      </c>
      <c r="C6" s="125"/>
      <c r="D6" s="125"/>
      <c r="E6" s="83"/>
      <c r="F6" s="83"/>
      <c r="G6" s="83"/>
      <c r="H6" s="83"/>
      <c r="I6" s="83"/>
      <c r="J6" s="80" t="s">
        <v>36</v>
      </c>
      <c r="K6" s="80"/>
      <c r="L6" s="80"/>
      <c r="M6" s="82"/>
    </row>
    <row r="7" spans="2:13" ht="12" customHeight="1">
      <c r="B7" s="84"/>
      <c r="C7" s="84"/>
      <c r="D7" s="78" t="s">
        <v>9</v>
      </c>
      <c r="E7" s="83"/>
      <c r="F7" s="83"/>
      <c r="G7" s="83"/>
      <c r="H7" s="83"/>
      <c r="I7" s="83"/>
      <c r="J7" s="80" t="s">
        <v>32</v>
      </c>
      <c r="K7" s="80" t="s">
        <v>33</v>
      </c>
      <c r="L7" s="80"/>
      <c r="M7" s="82"/>
    </row>
    <row r="8" spans="1:13" ht="12" customHeight="1">
      <c r="A8" s="28"/>
      <c r="B8" s="84"/>
      <c r="C8" s="84"/>
      <c r="D8" s="78" t="s">
        <v>10</v>
      </c>
      <c r="E8" s="85"/>
      <c r="F8" s="86"/>
      <c r="G8" s="80"/>
      <c r="H8" s="80"/>
      <c r="I8" s="80"/>
      <c r="J8" s="79"/>
      <c r="K8" s="79"/>
      <c r="L8" s="80"/>
      <c r="M8" s="82"/>
    </row>
    <row r="9" spans="1:13" ht="6.75" customHeight="1" thickBot="1">
      <c r="A9" s="87"/>
      <c r="B9" s="88"/>
      <c r="C9" s="88"/>
      <c r="D9" s="88"/>
      <c r="E9" s="88"/>
      <c r="F9" s="84"/>
      <c r="G9" s="84"/>
      <c r="H9" s="84"/>
      <c r="I9" s="84"/>
      <c r="J9" s="84"/>
      <c r="K9" s="84"/>
      <c r="L9" s="84"/>
      <c r="M9" s="89"/>
    </row>
    <row r="10" spans="1:8" ht="12.9" customHeight="1" thickTop="1" thickBot="1">
      <c r="A10" s="126" t="e">
        <f>IF(AND($C$57&gt;0.975,$H$52&gt;=38),"Experiment: PASSED","Experiment: FAILED (See Note Below**)")</f>
        <v>#DIV/0!</v>
      </c>
      <c r="B10" s="127"/>
      <c r="C10" s="127"/>
      <c r="D10" s="127"/>
      <c r="E10" s="128"/>
      <c r="F10" s="27"/>
      <c r="G10" s="27"/>
      <c r="H10" s="27"/>
    </row>
    <row r="11" spans="1:8" ht="12.9" customHeight="1" thickTop="1" thickBot="1">
      <c r="A11" s="90" t="s">
        <v>0</v>
      </c>
      <c r="B11" s="91" t="s">
        <v>1</v>
      </c>
      <c r="C11" s="91" t="s">
        <v>2</v>
      </c>
      <c r="D11" s="91" t="s">
        <v>37</v>
      </c>
      <c r="E11" s="91" t="s">
        <v>38</v>
      </c>
      <c r="F11" s="92" t="s">
        <v>49</v>
      </c>
      <c r="G11" s="92" t="s">
        <v>50</v>
      </c>
      <c r="H11" s="92" t="s">
        <v>51</v>
      </c>
    </row>
    <row r="12" spans="1:13" ht="12.9" customHeight="1" thickTop="1">
      <c r="A12" s="93">
        <v>1</v>
      </c>
      <c r="B12" s="94"/>
      <c r="C12" s="94"/>
      <c r="D12" s="95">
        <f>C12-B12</f>
        <v>0</v>
      </c>
      <c r="E12" s="96" t="e">
        <f>IF($J$8&gt;B12*($K$8/100),D12/$J$8,D12/(B12*($K$8/100)))</f>
        <v>#DIV/0!</v>
      </c>
      <c r="F12" s="97">
        <f>IF(B12+$J$8&gt;B12*((100+$K$8)/100),B12+$J$8,B12*((100+$K$8)/100))</f>
        <v>0</v>
      </c>
      <c r="G12" s="97">
        <f>IF(B12-$J$8&lt;B12*((100-$K$8)/100),B12-$J$8,B12*((100-$K$8)/100))</f>
        <v>0</v>
      </c>
      <c r="H12" s="98" t="e">
        <f>IF(AND(E12&gt;=-1,E12&lt;=1),1,0)</f>
        <v>#DIV/0!</v>
      </c>
      <c r="I12" s="27"/>
      <c r="J12" s="99"/>
      <c r="K12" s="99"/>
      <c r="L12" s="99"/>
      <c r="M12" s="99"/>
    </row>
    <row r="13" spans="1:13" ht="12.9" customHeight="1">
      <c r="A13" s="100">
        <f>A12+1</f>
        <v>2</v>
      </c>
      <c r="B13" s="94"/>
      <c r="C13" s="94"/>
      <c r="D13" s="101">
        <f>C13-B13</f>
        <v>0</v>
      </c>
      <c r="E13" s="102" t="e">
        <f>IF($J$8&gt;B13*($K$8/100),D13/$J$8,D13/(B13*($K$8/100)))</f>
        <v>#DIV/0!</v>
      </c>
      <c r="F13" s="97">
        <f>IF(B13+$J$8&gt;B13*((100+$K$8)/100),B13+$J$8,B13*((100+$K$8)/100))</f>
        <v>0</v>
      </c>
      <c r="G13" s="97">
        <f>IF(B13-$J$8&lt;B13*((100-$K$8)/100),B13-$J$8,B13*((100-$K$8)/100))</f>
        <v>0</v>
      </c>
      <c r="H13" s="98" t="e">
        <f>IF(AND(E13&gt;=-1,E13&lt;=1),1,0)</f>
        <v>#DIV/0!</v>
      </c>
      <c r="I13" s="27"/>
      <c r="J13" s="99"/>
      <c r="K13" s="99"/>
      <c r="L13" s="99"/>
      <c r="M13" s="99"/>
    </row>
    <row r="14" spans="1:13" ht="12.9" customHeight="1">
      <c r="A14" s="100">
        <f>A13+1</f>
        <v>3</v>
      </c>
      <c r="B14" s="94"/>
      <c r="C14" s="94"/>
      <c r="D14" s="101">
        <f>C14-B14</f>
        <v>0</v>
      </c>
      <c r="E14" s="102" t="e">
        <f>IF($J$8&gt;B14*($K$8/100),D14/$J$8,D14/(B14*($K$8/100)))</f>
        <v>#DIV/0!</v>
      </c>
      <c r="F14" s="97">
        <f>IF(B14+$J$8&gt;B14*((100+$K$8)/100),B14+$J$8,B14*((100+$K$8)/100))</f>
        <v>0</v>
      </c>
      <c r="G14" s="97">
        <f>IF(B14-$J$8&lt;B14*((100-$K$8)/100),B14-$J$8,B14*((100-$K$8)/100))</f>
        <v>0</v>
      </c>
      <c r="H14" s="98" t="e">
        <f>IF(AND(E14&gt;=-1,E14&lt;=1),1,0)</f>
        <v>#DIV/0!</v>
      </c>
      <c r="I14" s="27"/>
      <c r="J14" s="99"/>
      <c r="K14" s="99"/>
      <c r="L14" s="99"/>
      <c r="M14" s="99"/>
    </row>
    <row r="15" spans="1:13" ht="12.9" customHeight="1">
      <c r="A15" s="100">
        <f>A14+1</f>
        <v>4</v>
      </c>
      <c r="B15" s="94"/>
      <c r="C15" s="94"/>
      <c r="D15" s="101">
        <f>C15-B15</f>
        <v>0</v>
      </c>
      <c r="E15" s="102" t="e">
        <f>IF($J$8&gt;B15*($K$8/100),D15/$J$8,D15/(B15*($K$8/100)))</f>
        <v>#DIV/0!</v>
      </c>
      <c r="F15" s="97">
        <f>IF(B15+$J$8&gt;B15*((100+$K$8)/100),B15+$J$8,B15*((100+$K$8)/100))</f>
        <v>0</v>
      </c>
      <c r="G15" s="97">
        <f>IF(B15-$J$8&lt;B15*((100-$K$8)/100),B15-$J$8,B15*((100-$K$8)/100))</f>
        <v>0</v>
      </c>
      <c r="H15" s="98" t="e">
        <f>IF(AND(E15&gt;=-1,E15&lt;=1),1,0)</f>
        <v>#DIV/0!</v>
      </c>
      <c r="I15" s="27"/>
      <c r="J15" s="99"/>
      <c r="K15" s="99"/>
      <c r="L15" s="99"/>
      <c r="M15" s="99"/>
    </row>
    <row r="16" spans="1:13" ht="12.9" customHeight="1">
      <c r="A16" s="100">
        <f>A15+1</f>
        <v>5</v>
      </c>
      <c r="B16" s="94"/>
      <c r="C16" s="94"/>
      <c r="D16" s="101">
        <f>C16-B16</f>
        <v>0</v>
      </c>
      <c r="E16" s="102" t="e">
        <f>IF($J$8&gt;B16*($K$8/100),D16/$J$8,D16/(B16*($K$8/100)))</f>
        <v>#DIV/0!</v>
      </c>
      <c r="F16" s="97">
        <f>IF(B16+$J$8&gt;B16*((100+$K$8)/100),B16+$J$8,B16*((100+$K$8)/100))</f>
        <v>0</v>
      </c>
      <c r="G16" s="97">
        <f>IF(B16-$J$8&lt;B16*((100-$K$8)/100),B16-$J$8,B16*((100-$K$8)/100))</f>
        <v>0</v>
      </c>
      <c r="H16" s="98" t="e">
        <f>IF(AND(E16&gt;=-1,E16&lt;=1),1,0)</f>
        <v>#DIV/0!</v>
      </c>
      <c r="I16" s="27"/>
      <c r="J16" s="99"/>
      <c r="K16" s="99"/>
      <c r="L16" s="99"/>
      <c r="M16" s="99"/>
    </row>
    <row r="17" spans="1:13" ht="12.9" customHeight="1">
      <c r="A17" s="100">
        <f>A16+1</f>
        <v>6</v>
      </c>
      <c r="B17" s="94"/>
      <c r="C17" s="94"/>
      <c r="D17" s="101">
        <f>C17-B17</f>
        <v>0</v>
      </c>
      <c r="E17" s="102" t="e">
        <f>IF($J$8&gt;B17*($K$8/100),D17/$J$8,D17/(B17*($K$8/100)))</f>
        <v>#DIV/0!</v>
      </c>
      <c r="F17" s="97">
        <f>IF(B17+$J$8&gt;B17*((100+$K$8)/100),B17+$J$8,B17*((100+$K$8)/100))</f>
        <v>0</v>
      </c>
      <c r="G17" s="97">
        <f>IF(B17-$J$8&lt;B17*((100-$K$8)/100),B17-$J$8,B17*((100-$K$8)/100))</f>
        <v>0</v>
      </c>
      <c r="H17" s="98" t="e">
        <f>IF(AND(E17&gt;=-1,E17&lt;=1),1,0)</f>
        <v>#DIV/0!</v>
      </c>
      <c r="I17" s="27"/>
      <c r="J17" s="99"/>
      <c r="K17" s="99"/>
      <c r="L17" s="99"/>
      <c r="M17" s="99"/>
    </row>
    <row r="18" spans="1:13" ht="12.9" customHeight="1">
      <c r="A18" s="100">
        <f>A17+1</f>
        <v>7</v>
      </c>
      <c r="B18" s="94"/>
      <c r="C18" s="94"/>
      <c r="D18" s="101">
        <f>C18-B18</f>
        <v>0</v>
      </c>
      <c r="E18" s="102" t="e">
        <f>IF($J$8&gt;B18*($K$8/100),D18/$J$8,D18/(B18*($K$8/100)))</f>
        <v>#DIV/0!</v>
      </c>
      <c r="F18" s="97">
        <f>IF(B18+$J$8&gt;B18*((100+$K$8)/100),B18+$J$8,B18*((100+$K$8)/100))</f>
        <v>0</v>
      </c>
      <c r="G18" s="97">
        <f>IF(B18-$J$8&lt;B18*((100-$K$8)/100),B18-$J$8,B18*((100-$K$8)/100))</f>
        <v>0</v>
      </c>
      <c r="H18" s="98" t="e">
        <f>IF(AND(E18&gt;=-1,E18&lt;=1),1,0)</f>
        <v>#DIV/0!</v>
      </c>
      <c r="I18" s="27"/>
      <c r="J18" s="99"/>
      <c r="K18" s="99"/>
      <c r="L18" s="99"/>
      <c r="M18" s="99"/>
    </row>
    <row r="19" spans="1:13" ht="12.9" customHeight="1">
      <c r="A19" s="100">
        <f>A18+1</f>
        <v>8</v>
      </c>
      <c r="B19" s="94"/>
      <c r="C19" s="94"/>
      <c r="D19" s="101">
        <f>C19-B19</f>
        <v>0</v>
      </c>
      <c r="E19" s="102" t="e">
        <f>IF($J$8&gt;B19*($K$8/100),D19/$J$8,D19/(B19*($K$8/100)))</f>
        <v>#DIV/0!</v>
      </c>
      <c r="F19" s="97">
        <f>IF(B19+$J$8&gt;B19*((100+$K$8)/100),B19+$J$8,B19*((100+$K$8)/100))</f>
        <v>0</v>
      </c>
      <c r="G19" s="97">
        <f>IF(B19-$J$8&lt;B19*((100-$K$8)/100),B19-$J$8,B19*((100-$K$8)/100))</f>
        <v>0</v>
      </c>
      <c r="H19" s="98" t="e">
        <f>IF(AND(E19&gt;=-1,E19&lt;=1),1,0)</f>
        <v>#DIV/0!</v>
      </c>
      <c r="I19" s="27"/>
      <c r="J19" s="99"/>
      <c r="K19" s="99"/>
      <c r="L19" s="99"/>
      <c r="M19" s="99"/>
    </row>
    <row r="20" spans="1:13" ht="12.9" customHeight="1">
      <c r="A20" s="100">
        <f>A19+1</f>
        <v>9</v>
      </c>
      <c r="B20" s="94"/>
      <c r="C20" s="94"/>
      <c r="D20" s="101">
        <f>C20-B20</f>
        <v>0</v>
      </c>
      <c r="E20" s="102" t="e">
        <f>IF($J$8&gt;B20*($K$8/100),D20/$J$8,D20/(B20*($K$8/100)))</f>
        <v>#DIV/0!</v>
      </c>
      <c r="F20" s="97">
        <f>IF(B20+$J$8&gt;B20*((100+$K$8)/100),B20+$J$8,B20*((100+$K$8)/100))</f>
        <v>0</v>
      </c>
      <c r="G20" s="97">
        <f>IF(B20-$J$8&lt;B20*((100-$K$8)/100),B20-$J$8,B20*((100-$K$8)/100))</f>
        <v>0</v>
      </c>
      <c r="H20" s="98" t="e">
        <f>IF(AND(E20&gt;=-1,E20&lt;=1),1,0)</f>
        <v>#DIV/0!</v>
      </c>
      <c r="I20" s="27"/>
      <c r="J20" s="99"/>
      <c r="K20" s="99"/>
      <c r="L20" s="99"/>
      <c r="M20" s="99"/>
    </row>
    <row r="21" spans="1:13" ht="12.9" customHeight="1">
      <c r="A21" s="100">
        <f>A20+1</f>
        <v>10</v>
      </c>
      <c r="B21" s="94"/>
      <c r="C21" s="94"/>
      <c r="D21" s="101">
        <f>C21-B21</f>
        <v>0</v>
      </c>
      <c r="E21" s="102" t="e">
        <f>IF($J$8&gt;B21*($K$8/100),D21/$J$8,D21/(B21*($K$8/100)))</f>
        <v>#DIV/0!</v>
      </c>
      <c r="F21" s="97">
        <f>IF(B21+$J$8&gt;B21*((100+$K$8)/100),B21+$J$8,B21*((100+$K$8)/100))</f>
        <v>0</v>
      </c>
      <c r="G21" s="97">
        <f>IF(B21-$J$8&lt;B21*((100-$K$8)/100),B21-$J$8,B21*((100-$K$8)/100))</f>
        <v>0</v>
      </c>
      <c r="H21" s="98" t="e">
        <f>IF(AND(E21&gt;=-1,E21&lt;=1),1,0)</f>
        <v>#DIV/0!</v>
      </c>
      <c r="I21" s="27"/>
      <c r="J21" s="99"/>
      <c r="K21" s="99"/>
      <c r="L21" s="99"/>
      <c r="M21" s="99"/>
    </row>
    <row r="22" spans="1:13" ht="12.9" customHeight="1">
      <c r="A22" s="100">
        <f>A21+1</f>
        <v>11</v>
      </c>
      <c r="B22" s="94"/>
      <c r="C22" s="94"/>
      <c r="D22" s="101">
        <f>C22-B22</f>
        <v>0</v>
      </c>
      <c r="E22" s="102" t="e">
        <f>IF($J$8&gt;B22*($K$8/100),D22/$J$8,D22/(B22*($K$8/100)))</f>
        <v>#DIV/0!</v>
      </c>
      <c r="F22" s="97">
        <f>IF(B22+$J$8&gt;B22*((100+$K$8)/100),B22+$J$8,B22*((100+$K$8)/100))</f>
        <v>0</v>
      </c>
      <c r="G22" s="97">
        <f>IF(B22-$J$8&lt;B22*((100-$K$8)/100),B22-$J$8,B22*((100-$K$8)/100))</f>
        <v>0</v>
      </c>
      <c r="H22" s="98" t="e">
        <f>IF(AND(E22&gt;=-1,E22&lt;=1),1,0)</f>
        <v>#DIV/0!</v>
      </c>
      <c r="I22" s="27"/>
      <c r="J22" s="99"/>
      <c r="K22" s="99"/>
      <c r="L22" s="99"/>
      <c r="M22" s="99"/>
    </row>
    <row r="23" spans="1:13" ht="12.9" customHeight="1">
      <c r="A23" s="100">
        <f>A22+1</f>
        <v>12</v>
      </c>
      <c r="B23" s="94"/>
      <c r="C23" s="94"/>
      <c r="D23" s="101">
        <f>C23-B23</f>
        <v>0</v>
      </c>
      <c r="E23" s="102" t="e">
        <f>IF($J$8&gt;B23*($K$8/100),D23/$J$8,D23/(B23*($K$8/100)))</f>
        <v>#DIV/0!</v>
      </c>
      <c r="F23" s="97">
        <f>IF(B23+$J$8&gt;B23*((100+$K$8)/100),B23+$J$8,B23*((100+$K$8)/100))</f>
        <v>0</v>
      </c>
      <c r="G23" s="97">
        <f>IF(B23-$J$8&lt;B23*((100-$K$8)/100),B23-$J$8,B23*((100-$K$8)/100))</f>
        <v>0</v>
      </c>
      <c r="H23" s="98" t="e">
        <f>IF(AND(E23&gt;=-1,E23&lt;=1),1,0)</f>
        <v>#DIV/0!</v>
      </c>
      <c r="I23" s="27"/>
      <c r="J23" s="99"/>
      <c r="K23" s="99"/>
      <c r="L23" s="99"/>
      <c r="M23" s="99"/>
    </row>
    <row r="24" spans="1:13" ht="12.9" customHeight="1">
      <c r="A24" s="100">
        <f>A23+1</f>
        <v>13</v>
      </c>
      <c r="B24" s="94"/>
      <c r="C24" s="94"/>
      <c r="D24" s="101">
        <f>C24-B24</f>
        <v>0</v>
      </c>
      <c r="E24" s="102" t="e">
        <f>IF($J$8&gt;B24*($K$8/100),D24/$J$8,D24/(B24*($K$8/100)))</f>
        <v>#DIV/0!</v>
      </c>
      <c r="F24" s="97">
        <f>IF(B24+$J$8&gt;B24*((100+$K$8)/100),B24+$J$8,B24*((100+$K$8)/100))</f>
        <v>0</v>
      </c>
      <c r="G24" s="97">
        <f>IF(B24-$J$8&lt;B24*((100-$K$8)/100),B24-$J$8,B24*((100-$K$8)/100))</f>
        <v>0</v>
      </c>
      <c r="H24" s="98" t="e">
        <f>IF(AND(E24&gt;=-1,E24&lt;=1),1,0)</f>
        <v>#DIV/0!</v>
      </c>
      <c r="I24" s="27"/>
      <c r="J24" s="99"/>
      <c r="K24" s="99"/>
      <c r="L24" s="99"/>
      <c r="M24" s="99"/>
    </row>
    <row r="25" spans="1:13" ht="12.9" customHeight="1">
      <c r="A25" s="100">
        <f>A24+1</f>
        <v>14</v>
      </c>
      <c r="B25" s="94"/>
      <c r="C25" s="94"/>
      <c r="D25" s="101">
        <f>C25-B25</f>
        <v>0</v>
      </c>
      <c r="E25" s="102" t="e">
        <f>IF($J$8&gt;B25*($K$8/100),D25/$J$8,D25/(B25*($K$8/100)))</f>
        <v>#DIV/0!</v>
      </c>
      <c r="F25" s="97">
        <f>IF(B25+$J$8&gt;B25*((100+$K$8)/100),B25+$J$8,B25*((100+$K$8)/100))</f>
        <v>0</v>
      </c>
      <c r="G25" s="97">
        <f>IF(B25-$J$8&lt;B25*((100-$K$8)/100),B25-$J$8,B25*((100-$K$8)/100))</f>
        <v>0</v>
      </c>
      <c r="H25" s="98" t="e">
        <f>IF(AND(E25&gt;=-1,E25&lt;=1),1,0)</f>
        <v>#DIV/0!</v>
      </c>
      <c r="I25" s="27"/>
      <c r="J25" s="99"/>
      <c r="K25" s="99"/>
      <c r="L25" s="99"/>
      <c r="M25" s="99"/>
    </row>
    <row r="26" spans="1:13" ht="12.9" customHeight="1">
      <c r="A26" s="100">
        <f>A25+1</f>
        <v>15</v>
      </c>
      <c r="B26" s="94"/>
      <c r="C26" s="94"/>
      <c r="D26" s="101">
        <f>C26-B26</f>
        <v>0</v>
      </c>
      <c r="E26" s="102" t="e">
        <f>IF($J$8&gt;B26*($K$8/100),D26/$J$8,D26/(B26*($K$8/100)))</f>
        <v>#DIV/0!</v>
      </c>
      <c r="F26" s="97">
        <f>IF(B26+$J$8&gt;B26*((100+$K$8)/100),B26+$J$8,B26*((100+$K$8)/100))</f>
        <v>0</v>
      </c>
      <c r="G26" s="97">
        <f>IF(B26-$J$8&lt;B26*((100-$K$8)/100),B26-$J$8,B26*((100-$K$8)/100))</f>
        <v>0</v>
      </c>
      <c r="H26" s="98" t="e">
        <f>IF(AND(E26&gt;=-1,E26&lt;=1),1,0)</f>
        <v>#DIV/0!</v>
      </c>
      <c r="I26" s="27"/>
      <c r="J26" s="99"/>
      <c r="K26" s="99"/>
      <c r="L26" s="99"/>
      <c r="M26" s="99"/>
    </row>
    <row r="27" spans="1:13" ht="12.9" customHeight="1">
      <c r="A27" s="100">
        <f>A26+1</f>
        <v>16</v>
      </c>
      <c r="B27" s="94"/>
      <c r="C27" s="94"/>
      <c r="D27" s="101">
        <f>C27-B27</f>
        <v>0</v>
      </c>
      <c r="E27" s="102" t="e">
        <f>IF($J$8&gt;B27*($K$8/100),D27/$J$8,D27/(B27*($K$8/100)))</f>
        <v>#DIV/0!</v>
      </c>
      <c r="F27" s="97">
        <f>IF(B27+$J$8&gt;B27*((100+$K$8)/100),B27+$J$8,B27*((100+$K$8)/100))</f>
        <v>0</v>
      </c>
      <c r="G27" s="97">
        <f>IF(B27-$J$8&lt;B27*((100-$K$8)/100),B27-$J$8,B27*((100-$K$8)/100))</f>
        <v>0</v>
      </c>
      <c r="H27" s="98" t="e">
        <f>IF(AND(E27&gt;=-1,E27&lt;=1),1,0)</f>
        <v>#DIV/0!</v>
      </c>
      <c r="I27" s="27"/>
      <c r="J27" s="99"/>
      <c r="K27" s="99"/>
      <c r="L27" s="99"/>
      <c r="M27" s="99"/>
    </row>
    <row r="28" spans="1:13" ht="12.9" customHeight="1">
      <c r="A28" s="100">
        <f>A27+1</f>
        <v>17</v>
      </c>
      <c r="B28" s="94"/>
      <c r="C28" s="94"/>
      <c r="D28" s="101">
        <f>C28-B28</f>
        <v>0</v>
      </c>
      <c r="E28" s="102" t="e">
        <f>IF($J$8&gt;B28*($K$8/100),D28/$J$8,D28/(B28*($K$8/100)))</f>
        <v>#DIV/0!</v>
      </c>
      <c r="F28" s="97">
        <f>IF(B28+$J$8&gt;B28*((100+$K$8)/100),B28+$J$8,B28*((100+$K$8)/100))</f>
        <v>0</v>
      </c>
      <c r="G28" s="97">
        <f>IF(B28-$J$8&lt;B28*((100-$K$8)/100),B28-$J$8,B28*((100-$K$8)/100))</f>
        <v>0</v>
      </c>
      <c r="H28" s="98" t="e">
        <f>IF(AND(E28&gt;=-1,E28&lt;=1),1,0)</f>
        <v>#DIV/0!</v>
      </c>
      <c r="I28" s="27"/>
      <c r="J28" s="99"/>
      <c r="K28" s="99"/>
      <c r="L28" s="99"/>
      <c r="M28" s="99"/>
    </row>
    <row r="29" spans="1:13" ht="12.9" customHeight="1">
      <c r="A29" s="100">
        <f>A28+1</f>
        <v>18</v>
      </c>
      <c r="B29" s="94"/>
      <c r="C29" s="94"/>
      <c r="D29" s="101">
        <f>C29-B29</f>
        <v>0</v>
      </c>
      <c r="E29" s="102" t="e">
        <f>IF($J$8&gt;B29*($K$8/100),D29/$J$8,D29/(B29*($K$8/100)))</f>
        <v>#DIV/0!</v>
      </c>
      <c r="F29" s="97">
        <f>IF(B29+$J$8&gt;B29*((100+$K$8)/100),B29+$J$8,B29*((100+$K$8)/100))</f>
        <v>0</v>
      </c>
      <c r="G29" s="97">
        <f>IF(B29-$J$8&lt;B29*((100-$K$8)/100),B29-$J$8,B29*((100-$K$8)/100))</f>
        <v>0</v>
      </c>
      <c r="H29" s="98" t="e">
        <f>IF(AND(E29&gt;=-1,E29&lt;=1),1,0)</f>
        <v>#DIV/0!</v>
      </c>
      <c r="I29" s="27"/>
      <c r="J29" s="99"/>
      <c r="K29" s="99"/>
      <c r="L29" s="99"/>
      <c r="M29" s="99"/>
    </row>
    <row r="30" spans="1:13" ht="12.9" customHeight="1">
      <c r="A30" s="100">
        <f>A29+1</f>
        <v>19</v>
      </c>
      <c r="B30" s="94"/>
      <c r="C30" s="94"/>
      <c r="D30" s="101">
        <f>C30-B30</f>
        <v>0</v>
      </c>
      <c r="E30" s="102" t="e">
        <f>IF($J$8&gt;B30*($K$8/100),D30/$J$8,D30/(B30*($K$8/100)))</f>
        <v>#DIV/0!</v>
      </c>
      <c r="F30" s="97">
        <f>IF(B30+$J$8&gt;B30*((100+$K$8)/100),B30+$J$8,B30*((100+$K$8)/100))</f>
        <v>0</v>
      </c>
      <c r="G30" s="97">
        <f>IF(B30-$J$8&lt;B30*((100-$K$8)/100),B30-$J$8,B30*((100-$K$8)/100))</f>
        <v>0</v>
      </c>
      <c r="H30" s="98" t="e">
        <f>IF(AND(E30&gt;=-1,E30&lt;=1),1,0)</f>
        <v>#DIV/0!</v>
      </c>
      <c r="I30" s="27"/>
      <c r="J30" s="99"/>
      <c r="K30" s="99"/>
      <c r="L30" s="99"/>
      <c r="M30" s="99"/>
    </row>
    <row r="31" spans="1:13" ht="12.9" customHeight="1">
      <c r="A31" s="100">
        <f>A30+1</f>
        <v>20</v>
      </c>
      <c r="B31" s="94"/>
      <c r="C31" s="94"/>
      <c r="D31" s="101">
        <f>C31-B31</f>
        <v>0</v>
      </c>
      <c r="E31" s="102" t="e">
        <f>IF($J$8&gt;B31*($K$8/100),D31/$J$8,D31/(B31*($K$8/100)))</f>
        <v>#DIV/0!</v>
      </c>
      <c r="F31" s="97">
        <f>IF(B31+$J$8&gt;B31*((100+$K$8)/100),B31+$J$8,B31*((100+$K$8)/100))</f>
        <v>0</v>
      </c>
      <c r="G31" s="97">
        <f>IF(B31-$J$8&lt;B31*((100-$K$8)/100),B31-$J$8,B31*((100-$K$8)/100))</f>
        <v>0</v>
      </c>
      <c r="H31" s="98" t="e">
        <f>IF(AND(E31&gt;=-1,E31&lt;=1),1,0)</f>
        <v>#DIV/0!</v>
      </c>
      <c r="I31" s="27"/>
      <c r="J31" s="99"/>
      <c r="K31" s="99"/>
      <c r="L31" s="99"/>
      <c r="M31" s="99"/>
    </row>
    <row r="32" spans="1:13" ht="12.9" customHeight="1">
      <c r="A32" s="100">
        <f>A31+1</f>
        <v>21</v>
      </c>
      <c r="B32" s="94"/>
      <c r="C32" s="94"/>
      <c r="D32" s="101">
        <f>C32-B32</f>
        <v>0</v>
      </c>
      <c r="E32" s="102" t="e">
        <f>IF($J$8&gt;B32*($K$8/100),D32/$J$8,D32/(B32*($K$8/100)))</f>
        <v>#DIV/0!</v>
      </c>
      <c r="F32" s="97">
        <f>IF(B32+$J$8&gt;B32*((100+$K$8)/100),B32+$J$8,B32*((100+$K$8)/100))</f>
        <v>0</v>
      </c>
      <c r="G32" s="97">
        <f>IF(B32-$J$8&lt;B32*((100-$K$8)/100),B32-$J$8,B32*((100-$K$8)/100))</f>
        <v>0</v>
      </c>
      <c r="H32" s="98" t="e">
        <f>IF(AND(E32&gt;=-1,E32&lt;=1),1,0)</f>
        <v>#DIV/0!</v>
      </c>
      <c r="I32" s="27"/>
      <c r="J32" s="99"/>
      <c r="K32" s="99"/>
      <c r="L32" s="99"/>
      <c r="M32" s="99"/>
    </row>
    <row r="33" spans="1:13" ht="12.9" customHeight="1">
      <c r="A33" s="100">
        <f>A32+1</f>
        <v>22</v>
      </c>
      <c r="B33" s="94"/>
      <c r="C33" s="94"/>
      <c r="D33" s="101">
        <f>C33-B33</f>
        <v>0</v>
      </c>
      <c r="E33" s="102" t="e">
        <f>IF($J$8&gt;B33*($K$8/100),D33/$J$8,D33/(B33*($K$8/100)))</f>
        <v>#DIV/0!</v>
      </c>
      <c r="F33" s="97">
        <f>IF(B33+$J$8&gt;B33*((100+$K$8)/100),B33+$J$8,B33*((100+$K$8)/100))</f>
        <v>0</v>
      </c>
      <c r="G33" s="97">
        <f>IF(B33-$J$8&lt;B33*((100-$K$8)/100),B33-$J$8,B33*((100-$K$8)/100))</f>
        <v>0</v>
      </c>
      <c r="H33" s="98" t="e">
        <f>IF(AND(E33&gt;=-1,E33&lt;=1),1,0)</f>
        <v>#DIV/0!</v>
      </c>
      <c r="I33" s="27"/>
      <c r="J33" s="99"/>
      <c r="K33" s="99"/>
      <c r="L33" s="99"/>
      <c r="M33" s="99"/>
    </row>
    <row r="34" spans="1:13" ht="12.9" customHeight="1">
      <c r="A34" s="100">
        <f>A33+1</f>
        <v>23</v>
      </c>
      <c r="B34" s="94"/>
      <c r="C34" s="94"/>
      <c r="D34" s="101">
        <f>C34-B34</f>
        <v>0</v>
      </c>
      <c r="E34" s="102" t="e">
        <f>IF($J$8&gt;B34*($K$8/100),D34/$J$8,D34/(B34*($K$8/100)))</f>
        <v>#DIV/0!</v>
      </c>
      <c r="F34" s="97">
        <f>IF(B34+$J$8&gt;B34*((100+$K$8)/100),B34+$J$8,B34*((100+$K$8)/100))</f>
        <v>0</v>
      </c>
      <c r="G34" s="97">
        <f>IF(B34-$J$8&lt;B34*((100-$K$8)/100),B34-$J$8,B34*((100-$K$8)/100))</f>
        <v>0</v>
      </c>
      <c r="H34" s="98" t="e">
        <f>IF(AND(E34&gt;=-1,E34&lt;=1),1,0)</f>
        <v>#DIV/0!</v>
      </c>
      <c r="I34" s="27"/>
      <c r="J34" s="99"/>
      <c r="K34" s="99"/>
      <c r="L34" s="99"/>
      <c r="M34" s="99"/>
    </row>
    <row r="35" spans="1:13" ht="12.9" customHeight="1">
      <c r="A35" s="100">
        <f>A34+1</f>
        <v>24</v>
      </c>
      <c r="B35" s="94"/>
      <c r="C35" s="94"/>
      <c r="D35" s="101">
        <f>C35-B35</f>
        <v>0</v>
      </c>
      <c r="E35" s="102" t="e">
        <f>IF($J$8&gt;B35*($K$8/100),D35/$J$8,D35/(B35*($K$8/100)))</f>
        <v>#DIV/0!</v>
      </c>
      <c r="F35" s="97">
        <f>IF(B35+$J$8&gt;B35*((100+$K$8)/100),B35+$J$8,B35*((100+$K$8)/100))</f>
        <v>0</v>
      </c>
      <c r="G35" s="97">
        <f>IF(B35-$J$8&lt;B35*((100-$K$8)/100),B35-$J$8,B35*((100-$K$8)/100))</f>
        <v>0</v>
      </c>
      <c r="H35" s="98" t="e">
        <f>IF(AND(E35&gt;=-1,E35&lt;=1),1,0)</f>
        <v>#DIV/0!</v>
      </c>
      <c r="I35" s="27"/>
      <c r="J35" s="99"/>
      <c r="K35" s="99"/>
      <c r="L35" s="99"/>
      <c r="M35" s="99"/>
    </row>
    <row r="36" spans="1:13" ht="12.9" customHeight="1">
      <c r="A36" s="100">
        <f>A35+1</f>
        <v>25</v>
      </c>
      <c r="B36" s="94"/>
      <c r="C36" s="94"/>
      <c r="D36" s="101">
        <f>C36-B36</f>
        <v>0</v>
      </c>
      <c r="E36" s="102" t="e">
        <f>IF($J$8&gt;B36*($K$8/100),D36/$J$8,D36/(B36*($K$8/100)))</f>
        <v>#DIV/0!</v>
      </c>
      <c r="F36" s="97">
        <f>IF(B36+$J$8&gt;B36*((100+$K$8)/100),B36+$J$8,B36*((100+$K$8)/100))</f>
        <v>0</v>
      </c>
      <c r="G36" s="97">
        <f>IF(B36-$J$8&lt;B36*((100-$K$8)/100),B36-$J$8,B36*((100-$K$8)/100))</f>
        <v>0</v>
      </c>
      <c r="H36" s="98" t="e">
        <f>IF(AND(E36&gt;=-1,E36&lt;=1),1,0)</f>
        <v>#DIV/0!</v>
      </c>
      <c r="I36" s="27"/>
      <c r="J36" s="99"/>
      <c r="K36" s="99"/>
      <c r="L36" s="99"/>
      <c r="M36" s="99"/>
    </row>
    <row r="37" spans="1:13" ht="12.9" customHeight="1">
      <c r="A37" s="100">
        <f>A36+1</f>
        <v>26</v>
      </c>
      <c r="B37" s="94"/>
      <c r="C37" s="94"/>
      <c r="D37" s="101">
        <f>C37-B37</f>
        <v>0</v>
      </c>
      <c r="E37" s="102" t="e">
        <f>IF($J$8&gt;B37*($K$8/100),D37/$J$8,D37/(B37*($K$8/100)))</f>
        <v>#DIV/0!</v>
      </c>
      <c r="F37" s="97">
        <f>IF(B37+$J$8&gt;B37*((100+$K$8)/100),B37+$J$8,B37*((100+$K$8)/100))</f>
        <v>0</v>
      </c>
      <c r="G37" s="97">
        <f>IF(B37-$J$8&lt;B37*((100-$K$8)/100),B37-$J$8,B37*((100-$K$8)/100))</f>
        <v>0</v>
      </c>
      <c r="H37" s="98" t="e">
        <f>IF(AND(E37&gt;=-1,E37&lt;=1),1,0)</f>
        <v>#DIV/0!</v>
      </c>
      <c r="I37" s="27"/>
      <c r="J37" s="99"/>
      <c r="K37" s="99"/>
      <c r="L37" s="99"/>
      <c r="M37" s="99"/>
    </row>
    <row r="38" spans="1:13" ht="12.9" customHeight="1">
      <c r="A38" s="100">
        <f>A37+1</f>
        <v>27</v>
      </c>
      <c r="B38" s="94"/>
      <c r="C38" s="94"/>
      <c r="D38" s="101">
        <f>C38-B38</f>
        <v>0</v>
      </c>
      <c r="E38" s="102" t="e">
        <f>IF($J$8&gt;B38*($K$8/100),D38/$J$8,D38/(B38*($K$8/100)))</f>
        <v>#DIV/0!</v>
      </c>
      <c r="F38" s="97">
        <f>IF(B38+$J$8&gt;B38*((100+$K$8)/100),B38+$J$8,B38*((100+$K$8)/100))</f>
        <v>0</v>
      </c>
      <c r="G38" s="97">
        <f>IF(B38-$J$8&lt;B38*((100-$K$8)/100),B38-$J$8,B38*((100-$K$8)/100))</f>
        <v>0</v>
      </c>
      <c r="H38" s="98" t="e">
        <f>IF(AND(E38&gt;=-1,E38&lt;=1),1,0)</f>
        <v>#DIV/0!</v>
      </c>
      <c r="I38" s="27"/>
      <c r="J38" s="99"/>
      <c r="K38" s="99"/>
      <c r="L38" s="99"/>
      <c r="M38" s="99"/>
    </row>
    <row r="39" spans="1:13" ht="12.9" customHeight="1">
      <c r="A39" s="100">
        <f>A38+1</f>
        <v>28</v>
      </c>
      <c r="B39" s="94"/>
      <c r="C39" s="94"/>
      <c r="D39" s="101">
        <f>C39-B39</f>
        <v>0</v>
      </c>
      <c r="E39" s="102" t="e">
        <f>IF($J$8&gt;B39*($K$8/100),D39/$J$8,D39/(B39*($K$8/100)))</f>
        <v>#DIV/0!</v>
      </c>
      <c r="F39" s="97">
        <f>IF(B39+$J$8&gt;B39*((100+$K$8)/100),B39+$J$8,B39*((100+$K$8)/100))</f>
        <v>0</v>
      </c>
      <c r="G39" s="97">
        <f>IF(B39-$J$8&lt;B39*((100-$K$8)/100),B39-$J$8,B39*((100-$K$8)/100))</f>
        <v>0</v>
      </c>
      <c r="H39" s="98" t="e">
        <f>IF(AND(E39&gt;=-1,E39&lt;=1),1,0)</f>
        <v>#DIV/0!</v>
      </c>
      <c r="I39" s="27"/>
      <c r="J39" s="99"/>
      <c r="K39" s="99"/>
      <c r="L39" s="99"/>
      <c r="M39" s="99"/>
    </row>
    <row r="40" spans="1:13" ht="12.9" customHeight="1">
      <c r="A40" s="100">
        <f>A39+1</f>
        <v>29</v>
      </c>
      <c r="B40" s="94"/>
      <c r="C40" s="94"/>
      <c r="D40" s="101">
        <f>C40-B40</f>
        <v>0</v>
      </c>
      <c r="E40" s="102" t="e">
        <f>IF($J$8&gt;B40*($K$8/100),D40/$J$8,D40/(B40*($K$8/100)))</f>
        <v>#DIV/0!</v>
      </c>
      <c r="F40" s="97">
        <f>IF(B40+$J$8&gt;B40*((100+$K$8)/100),B40+$J$8,B40*((100+$K$8)/100))</f>
        <v>0</v>
      </c>
      <c r="G40" s="97">
        <f>IF(B40-$J$8&lt;B40*((100-$K$8)/100),B40-$J$8,B40*((100-$K$8)/100))</f>
        <v>0</v>
      </c>
      <c r="H40" s="98" t="e">
        <f>IF(AND(E40&gt;=-1,E40&lt;=1),1,0)</f>
        <v>#DIV/0!</v>
      </c>
      <c r="I40" s="27"/>
      <c r="J40" s="99"/>
      <c r="K40" s="99"/>
      <c r="L40" s="99"/>
      <c r="M40" s="99"/>
    </row>
    <row r="41" spans="1:13" ht="12.9" customHeight="1">
      <c r="A41" s="100">
        <f>A40+1</f>
        <v>30</v>
      </c>
      <c r="B41" s="94"/>
      <c r="C41" s="94"/>
      <c r="D41" s="101">
        <f>C41-B41</f>
        <v>0</v>
      </c>
      <c r="E41" s="102" t="e">
        <f>IF($J$8&gt;B41*($K$8/100),D41/$J$8,D41/(B41*($K$8/100)))</f>
        <v>#DIV/0!</v>
      </c>
      <c r="F41" s="97">
        <f>IF(B41+$J$8&gt;B41*((100+$K$8)/100),B41+$J$8,B41*((100+$K$8)/100))</f>
        <v>0</v>
      </c>
      <c r="G41" s="97">
        <f>IF(B41-$J$8&lt;B41*((100-$K$8)/100),B41-$J$8,B41*((100-$K$8)/100))</f>
        <v>0</v>
      </c>
      <c r="H41" s="98" t="e">
        <f>IF(AND(E41&gt;=-1,E41&lt;=1),1,0)</f>
        <v>#DIV/0!</v>
      </c>
      <c r="I41" s="27"/>
      <c r="J41" s="99"/>
      <c r="K41" s="99"/>
      <c r="L41" s="99"/>
      <c r="M41" s="99"/>
    </row>
    <row r="42" spans="1:13" ht="12.9" customHeight="1">
      <c r="A42" s="100">
        <f>A41+1</f>
        <v>31</v>
      </c>
      <c r="B42" s="94"/>
      <c r="C42" s="94"/>
      <c r="D42" s="101">
        <f>C42-B42</f>
        <v>0</v>
      </c>
      <c r="E42" s="102" t="e">
        <f>IF($J$8&gt;B42*($K$8/100),D42/$J$8,D42/(B42*($K$8/100)))</f>
        <v>#DIV/0!</v>
      </c>
      <c r="F42" s="97">
        <f>IF(B42+$J$8&gt;B42*((100+$K$8)/100),B42+$J$8,B42*((100+$K$8)/100))</f>
        <v>0</v>
      </c>
      <c r="G42" s="97">
        <f>IF(B42-$J$8&lt;B42*((100-$K$8)/100),B42-$J$8,B42*((100-$K$8)/100))</f>
        <v>0</v>
      </c>
      <c r="H42" s="98" t="e">
        <f>IF(AND(E42&gt;=-1,E42&lt;=1),1,0)</f>
        <v>#DIV/0!</v>
      </c>
      <c r="I42" s="27"/>
      <c r="J42" s="99"/>
      <c r="K42" s="99"/>
      <c r="L42" s="99"/>
      <c r="M42" s="99"/>
    </row>
    <row r="43" spans="1:13" ht="12.9" customHeight="1">
      <c r="A43" s="100">
        <f>A42+1</f>
        <v>32</v>
      </c>
      <c r="B43" s="94"/>
      <c r="C43" s="94"/>
      <c r="D43" s="101">
        <f>C43-B43</f>
        <v>0</v>
      </c>
      <c r="E43" s="102" t="e">
        <f>IF($J$8&gt;B43*($K$8/100),D43/$J$8,D43/(B43*($K$8/100)))</f>
        <v>#DIV/0!</v>
      </c>
      <c r="F43" s="97">
        <f>IF(B43+$J$8&gt;B43*((100+$K$8)/100),B43+$J$8,B43*((100+$K$8)/100))</f>
        <v>0</v>
      </c>
      <c r="G43" s="97">
        <f>IF(B43-$J$8&lt;B43*((100-$K$8)/100),B43-$J$8,B43*((100-$K$8)/100))</f>
        <v>0</v>
      </c>
      <c r="H43" s="98" t="e">
        <f>IF(AND(E43&gt;=-1,E43&lt;=1),1,0)</f>
        <v>#DIV/0!</v>
      </c>
      <c r="I43" s="27"/>
      <c r="J43" s="99"/>
      <c r="K43" s="99"/>
      <c r="L43" s="99"/>
      <c r="M43" s="99"/>
    </row>
    <row r="44" spans="1:13" ht="12.9" customHeight="1">
      <c r="A44" s="100">
        <f>A43+1</f>
        <v>33</v>
      </c>
      <c r="B44" s="94"/>
      <c r="C44" s="94"/>
      <c r="D44" s="101">
        <f>C44-B44</f>
        <v>0</v>
      </c>
      <c r="E44" s="102" t="e">
        <f>IF($J$8&gt;B44*($K$8/100),D44/$J$8,D44/(B44*($K$8/100)))</f>
        <v>#DIV/0!</v>
      </c>
      <c r="F44" s="97">
        <f>IF(B44+$J$8&gt;B44*((100+$K$8)/100),B44+$J$8,B44*((100+$K$8)/100))</f>
        <v>0</v>
      </c>
      <c r="G44" s="97">
        <f>IF(B44-$J$8&lt;B44*((100-$K$8)/100),B44-$J$8,B44*((100-$K$8)/100))</f>
        <v>0</v>
      </c>
      <c r="H44" s="98" t="e">
        <f>IF(AND(E44&gt;=-1,E44&lt;=1),1,0)</f>
        <v>#DIV/0!</v>
      </c>
      <c r="I44" s="27"/>
      <c r="J44" s="99"/>
      <c r="K44" s="99"/>
      <c r="L44" s="99"/>
      <c r="M44" s="99"/>
    </row>
    <row r="45" spans="1:13" ht="12.9" customHeight="1">
      <c r="A45" s="100">
        <f>A44+1</f>
        <v>34</v>
      </c>
      <c r="B45" s="94"/>
      <c r="C45" s="94"/>
      <c r="D45" s="101">
        <f>C45-B45</f>
        <v>0</v>
      </c>
      <c r="E45" s="102" t="e">
        <f>IF($J$8&gt;B45*($K$8/100),D45/$J$8,D45/(B45*($K$8/100)))</f>
        <v>#DIV/0!</v>
      </c>
      <c r="F45" s="97">
        <f>IF(B45+$J$8&gt;B45*((100+$K$8)/100),B45+$J$8,B45*((100+$K$8)/100))</f>
        <v>0</v>
      </c>
      <c r="G45" s="97">
        <f>IF(B45-$J$8&lt;B45*((100-$K$8)/100),B45-$J$8,B45*((100-$K$8)/100))</f>
        <v>0</v>
      </c>
      <c r="H45" s="98" t="e">
        <f>IF(AND(E45&gt;=-1,E45&lt;=1),1,0)</f>
        <v>#DIV/0!</v>
      </c>
      <c r="I45" s="27"/>
      <c r="J45" s="99"/>
      <c r="K45" s="99"/>
      <c r="L45" s="99"/>
      <c r="M45" s="99"/>
    </row>
    <row r="46" spans="1:13" ht="12.9" customHeight="1">
      <c r="A46" s="100">
        <f>A45+1</f>
        <v>35</v>
      </c>
      <c r="B46" s="94"/>
      <c r="C46" s="94"/>
      <c r="D46" s="101">
        <f>C46-B46</f>
        <v>0</v>
      </c>
      <c r="E46" s="102" t="e">
        <f>IF($J$8&gt;B46*($K$8/100),D46/$J$8,D46/(B46*($K$8/100)))</f>
        <v>#DIV/0!</v>
      </c>
      <c r="F46" s="97">
        <f>IF(B46+$J$8&gt;B46*((100+$K$8)/100),B46+$J$8,B46*((100+$K$8)/100))</f>
        <v>0</v>
      </c>
      <c r="G46" s="97">
        <f>IF(B46-$J$8&lt;B46*((100-$K$8)/100),B46-$J$8,B46*((100-$K$8)/100))</f>
        <v>0</v>
      </c>
      <c r="H46" s="98" t="e">
        <f>IF(AND(E46&gt;=-1,E46&lt;=1),1,0)</f>
        <v>#DIV/0!</v>
      </c>
      <c r="I46" s="27"/>
      <c r="J46" s="99"/>
      <c r="K46" s="99"/>
      <c r="L46" s="99"/>
      <c r="M46" s="99"/>
    </row>
    <row r="47" spans="1:13" ht="12.9" customHeight="1">
      <c r="A47" s="100">
        <f>A46+1</f>
        <v>36</v>
      </c>
      <c r="B47" s="94"/>
      <c r="C47" s="94"/>
      <c r="D47" s="101">
        <f>C47-B47</f>
        <v>0</v>
      </c>
      <c r="E47" s="102" t="e">
        <f>IF($J$8&gt;B47*($K$8/100),D47/$J$8,D47/(B47*($K$8/100)))</f>
        <v>#DIV/0!</v>
      </c>
      <c r="F47" s="97">
        <f>IF(B47+$J$8&gt;B47*((100+$K$8)/100),B47+$J$8,B47*((100+$K$8)/100))</f>
        <v>0</v>
      </c>
      <c r="G47" s="97">
        <f>IF(B47-$J$8&lt;B47*((100-$K$8)/100),B47-$J$8,B47*((100-$K$8)/100))</f>
        <v>0</v>
      </c>
      <c r="H47" s="98" t="e">
        <f>IF(AND(E47&gt;=-1,E47&lt;=1),1,0)</f>
        <v>#DIV/0!</v>
      </c>
      <c r="I47" s="27"/>
      <c r="J47" s="99"/>
      <c r="K47" s="99"/>
      <c r="L47" s="99"/>
      <c r="M47" s="99"/>
    </row>
    <row r="48" spans="1:13" ht="12.9" customHeight="1">
      <c r="A48" s="100">
        <f>A47+1</f>
        <v>37</v>
      </c>
      <c r="B48" s="94"/>
      <c r="C48" s="94"/>
      <c r="D48" s="101">
        <f>C48-B48</f>
        <v>0</v>
      </c>
      <c r="E48" s="102" t="e">
        <f>IF($J$8&gt;B48*($K$8/100),D48/$J$8,D48/(B48*($K$8/100)))</f>
        <v>#DIV/0!</v>
      </c>
      <c r="F48" s="97">
        <f>IF(B48+$J$8&gt;B48*((100+$K$8)/100),B48+$J$8,B48*((100+$K$8)/100))</f>
        <v>0</v>
      </c>
      <c r="G48" s="97">
        <f>IF(B48-$J$8&lt;B48*((100-$K$8)/100),B48-$J$8,B48*((100-$K$8)/100))</f>
        <v>0</v>
      </c>
      <c r="H48" s="98" t="e">
        <f>IF(AND(E48&gt;=-1,E48&lt;=1),1,0)</f>
        <v>#DIV/0!</v>
      </c>
      <c r="I48" s="27"/>
      <c r="J48" s="99"/>
      <c r="K48" s="99"/>
      <c r="L48" s="99"/>
      <c r="M48" s="99"/>
    </row>
    <row r="49" spans="1:13" ht="12.9" customHeight="1">
      <c r="A49" s="100">
        <f>A48+1</f>
        <v>38</v>
      </c>
      <c r="B49" s="94"/>
      <c r="C49" s="94"/>
      <c r="D49" s="101">
        <f>C49-B49</f>
        <v>0</v>
      </c>
      <c r="E49" s="102" t="e">
        <f>IF($J$8&gt;B49*($K$8/100),D49/$J$8,D49/(B49*($K$8/100)))</f>
        <v>#DIV/0!</v>
      </c>
      <c r="F49" s="97">
        <f>IF(B49+$J$8&gt;B49*((100+$K$8)/100),B49+$J$8,B49*((100+$K$8)/100))</f>
        <v>0</v>
      </c>
      <c r="G49" s="97">
        <f>IF(B49-$J$8&lt;B49*((100-$K$8)/100),B49-$J$8,B49*((100-$K$8)/100))</f>
        <v>0</v>
      </c>
      <c r="H49" s="98" t="e">
        <f>IF(AND(E49&gt;=-1,E49&lt;=1),1,0)</f>
        <v>#DIV/0!</v>
      </c>
      <c r="I49" s="27"/>
      <c r="J49" s="99"/>
      <c r="K49" s="99"/>
      <c r="L49" s="99"/>
      <c r="M49" s="99"/>
    </row>
    <row r="50" spans="1:13" ht="12.9" customHeight="1">
      <c r="A50" s="100">
        <f>A49+1</f>
        <v>39</v>
      </c>
      <c r="B50" s="94"/>
      <c r="C50" s="94"/>
      <c r="D50" s="101">
        <f>C50-B50</f>
        <v>0</v>
      </c>
      <c r="E50" s="102" t="e">
        <f>IF($J$8&gt;B50*($K$8/100),D50/$J$8,D50/(B50*($K$8/100)))</f>
        <v>#DIV/0!</v>
      </c>
      <c r="F50" s="97">
        <f>IF(B50+$J$8&gt;B50*((100+$K$8)/100),B50+$J$8,B50*((100+$K$8)/100))</f>
        <v>0</v>
      </c>
      <c r="G50" s="97">
        <f>IF(B50-$J$8&lt;B50*((100-$K$8)/100),B50-$J$8,B50*((100-$K$8)/100))</f>
        <v>0</v>
      </c>
      <c r="H50" s="98" t="e">
        <f>IF(AND(E50&gt;=-1,E50&lt;=1),1,0)</f>
        <v>#DIV/0!</v>
      </c>
      <c r="I50" s="27"/>
      <c r="J50" s="99"/>
      <c r="K50" s="99"/>
      <c r="L50" s="99"/>
      <c r="M50" s="99"/>
    </row>
    <row r="51" spans="1:13" ht="12.9" customHeight="1">
      <c r="A51" s="100">
        <f>A50+1</f>
        <v>40</v>
      </c>
      <c r="B51" s="94"/>
      <c r="C51" s="94"/>
      <c r="D51" s="101">
        <f>C51-B51</f>
        <v>0</v>
      </c>
      <c r="E51" s="102" t="e">
        <f>IF($J$8&gt;B51*($K$8/100),D51/$J$8,D51/(B51*($K$8/100)))</f>
        <v>#DIV/0!</v>
      </c>
      <c r="F51" s="97">
        <f>IF(B51+$J$8&gt;B51*((100+$K$8)/100),B51+$J$8,B51*((100+$K$8)/100))</f>
        <v>0</v>
      </c>
      <c r="G51" s="97">
        <f>IF(B51-$J$8&lt;B51*((100-$K$8)/100),B51-$J$8,B51*((100-$K$8)/100))</f>
        <v>0</v>
      </c>
      <c r="H51" s="98" t="e">
        <f>IF(AND(E51&gt;=-1,E51&lt;=1),1,0)</f>
        <v>#DIV/0!</v>
      </c>
      <c r="I51" s="27"/>
      <c r="J51" s="99"/>
      <c r="K51" s="99"/>
      <c r="L51" s="99"/>
      <c r="M51" s="99"/>
    </row>
    <row r="52" spans="1:9" ht="12.9" customHeight="1">
      <c r="A52" s="103" t="s">
        <v>4</v>
      </c>
      <c r="B52" s="104" t="e">
        <f>AVERAGE(B12:B51)</f>
        <v>#DIV/0!</v>
      </c>
      <c r="C52" s="104" t="e">
        <f>AVERAGE(C12:C51)</f>
        <v>#DIV/0!</v>
      </c>
      <c r="D52" s="104">
        <f>AVERAGE(D12:D51)</f>
        <v>0</v>
      </c>
      <c r="E52" s="105" t="e">
        <f>AVERAGE(E12:E51)</f>
        <v>#DIV/0!</v>
      </c>
      <c r="F52" s="97"/>
      <c r="G52" s="97"/>
      <c r="H52" s="98" t="e">
        <f>SUM(H12:H51)</f>
        <v>#DIV/0!</v>
      </c>
      <c r="I52" s="27"/>
    </row>
    <row r="53" spans="1:13" ht="12.9" customHeight="1">
      <c r="A53" s="103" t="s">
        <v>39</v>
      </c>
      <c r="B53" s="104">
        <f>MIN(B12:B51)</f>
        <v>0</v>
      </c>
      <c r="C53" s="104">
        <f>MIN(C12:C51)</f>
        <v>0</v>
      </c>
      <c r="D53" s="104">
        <f>MIN(D12:D51)</f>
        <v>0</v>
      </c>
      <c r="E53" s="105" t="e">
        <f>MIN(E12:E51)</f>
        <v>#DIV/0!</v>
      </c>
      <c r="F53" s="129" t="e">
        <f>IF($H52&lt;38,"**Greater than 5% of the error indices are unacceptable.  Consider possible cause of inaccuracy, troubleshoot before repeating accuracy studies","")</f>
        <v>#DIV/0!</v>
      </c>
      <c r="G53" s="130"/>
      <c r="H53" s="130"/>
      <c r="I53" s="130"/>
      <c r="J53" s="130"/>
      <c r="K53" s="130"/>
      <c r="L53" s="130"/>
      <c r="M53" s="130"/>
    </row>
    <row r="54" spans="1:19" ht="12.9" customHeight="1">
      <c r="A54" s="103" t="s">
        <v>40</v>
      </c>
      <c r="B54" s="104">
        <f>MAX(B12:B51)</f>
        <v>0</v>
      </c>
      <c r="C54" s="104">
        <f>MAX(C12:C51)</f>
        <v>0</v>
      </c>
      <c r="D54" s="104">
        <f>MAX(D12:D51)</f>
        <v>0</v>
      </c>
      <c r="E54" s="105" t="e">
        <f>MAX(E12:E51)</f>
        <v>#DIV/0!</v>
      </c>
      <c r="F54" s="129"/>
      <c r="G54" s="130"/>
      <c r="H54" s="130"/>
      <c r="I54" s="130"/>
      <c r="J54" s="130"/>
      <c r="K54" s="130"/>
      <c r="L54" s="130"/>
      <c r="M54" s="130"/>
      <c r="N54" s="76"/>
      <c r="O54" s="76"/>
      <c r="P54" s="76"/>
      <c r="Q54" s="76"/>
      <c r="R54" s="76"/>
      <c r="S54" s="76"/>
    </row>
    <row r="55" spans="1:6" ht="12.9" customHeight="1">
      <c r="A55" s="122" t="s">
        <v>11</v>
      </c>
      <c r="B55" s="122"/>
      <c r="C55" s="106" t="e">
        <f>SLOPE(C12:C51,B12:B51)</f>
        <v>#DIV/0!</v>
      </c>
      <c r="D55" s="87"/>
      <c r="E55" s="87"/>
      <c r="F55" s="107"/>
    </row>
    <row r="56" spans="1:6" ht="12.9" customHeight="1">
      <c r="A56" s="122" t="s">
        <v>12</v>
      </c>
      <c r="B56" s="122"/>
      <c r="C56" s="106" t="e">
        <f>INTERCEPT(C12:C51,B12:B51)</f>
        <v>#DIV/0!</v>
      </c>
      <c r="D56" s="87"/>
      <c r="E56" s="87"/>
      <c r="F56" s="107"/>
    </row>
    <row r="57" spans="1:6" ht="12.9" customHeight="1">
      <c r="A57" s="123" t="s">
        <v>43</v>
      </c>
      <c r="B57" s="123"/>
      <c r="C57" s="108" t="e">
        <f>CORREL(B12:B51,C12:C51)</f>
        <v>#DIV/0!</v>
      </c>
      <c r="D57" s="89" t="e">
        <f>IF(C57&lt;0.975,"**Correlation Coefficient is too low.  Troubleshoot Assay and re-analyse specimens","")</f>
        <v>#DIV/0!</v>
      </c>
      <c r="E57" s="89"/>
      <c r="F57" s="107"/>
    </row>
  </sheetData>
  <sheetProtection algorithmName="SHA-512" hashValue="Qy19zHLIek/1Sj5Xzgm3LtMS1iJbrfb2T7vZvN7B+YTQvsNXWo2ZUZM8SBE/8ApFGY+fnM7lzwAGNJ0IAAdORw==" saltValue="NLEMjsHb6W1th1fXsTiG9A==" spinCount="100000" sheet="1" selectLockedCells="1"/>
  <mergeCells count="8">
    <mergeCell ref="A56:B56"/>
    <mergeCell ref="A57:B57"/>
    <mergeCell ref="B3:L3"/>
    <mergeCell ref="B5:D5"/>
    <mergeCell ref="B6:D6"/>
    <mergeCell ref="A10:E10"/>
    <mergeCell ref="F53:M54"/>
    <mergeCell ref="A55:B55"/>
  </mergeCells>
  <conditionalFormatting sqref="A10">
    <cfRule type="cellIs" priority="2" dxfId="7" operator="equal" stopIfTrue="1">
      <formula>"Experiment: FAILED (See Note Below**)"</formula>
    </cfRule>
    <cfRule type="cellIs" priority="3" dxfId="6" operator="equal" stopIfTrue="1">
      <formula>"Experiment: PASSED"</formula>
    </cfRule>
  </conditionalFormatting>
  <conditionalFormatting sqref="C57">
    <cfRule type="cellIs" priority="4" dxfId="2" operator="lessThan" stopIfTrue="1">
      <formula>0.975</formula>
    </cfRule>
  </conditionalFormatting>
  <conditionalFormatting sqref="D57">
    <cfRule type="cellIs" priority="1" dxfId="1" operator="notEqual" stopIfTrue="1">
      <formula>""""""</formula>
    </cfRule>
  </conditionalFormatting>
  <conditionalFormatting sqref="E12:E54">
    <cfRule type="cellIs" priority="5" dxfId="2" operator="lessThan" stopIfTrue="1">
      <formula>-1</formula>
    </cfRule>
    <cfRule type="cellIs" priority="6" dxfId="2" operator="greaterThan" stopIfTrue="1">
      <formula>1</formula>
    </cfRule>
  </conditionalFormatting>
  <pageMargins left="0.25" right="0.25" top="0.75" bottom="0.75" header="0.3" footer="0.3"/>
  <pageSetup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73"/>
  <sheetViews>
    <sheetView workbookViewId="0" topLeftCell="A1">
      <selection pane="topLeft" activeCell="H28" sqref="H28"/>
    </sheetView>
  </sheetViews>
  <sheetFormatPr defaultRowHeight="15"/>
  <cols>
    <col min="1" max="1" width="8.57142857142857" bestFit="1" customWidth="1"/>
    <col min="2" max="2" width="8.71428571428571" customWidth="1"/>
    <col min="3" max="3" width="9.57142857142857" customWidth="1"/>
    <col min="4" max="4" width="6.85714285714286" bestFit="1" customWidth="1"/>
    <col min="5" max="5" width="12.5714285714286" bestFit="1" customWidth="1"/>
    <col min="6" max="6" width="5.71428571428571" customWidth="1"/>
    <col min="7" max="7" width="9.28571428571429" bestFit="1" customWidth="1"/>
    <col min="8" max="8" width="10.5714285714286" customWidth="1"/>
    <col min="9" max="9" width="9.42857142857143" bestFit="1" customWidth="1"/>
    <col min="10" max="10" width="10.2857142857143" customWidth="1"/>
    <col min="11" max="11" width="2.28571428571429" customWidth="1"/>
    <col min="12" max="12" width="11.5714285714286" customWidth="1"/>
    <col min="13" max="13" width="12.1428571428571" bestFit="1" customWidth="1"/>
    <col min="14" max="15" width="9.42857142857143" bestFit="1" customWidth="1"/>
    <col min="16" max="16" width="5.85714285714286" customWidth="1"/>
    <col min="17" max="17" width="12.2857142857143" customWidth="1"/>
    <col min="18" max="18" width="9.28571428571429" bestFit="1" customWidth="1"/>
    <col min="21" max="21" width="9.85714285714286" customWidth="1"/>
    <col min="26" max="26" width="12.7142857142857" customWidth="1"/>
    <col min="27" max="27" width="13.1428571428571" customWidth="1"/>
    <col min="28" max="28" width="13" customWidth="1"/>
    <col min="29" max="29" width="14" customWidth="1"/>
  </cols>
  <sheetData>
    <row r="1" spans="1:1" ht="14.4">
      <c r="A1" s="60" t="s">
        <v>47</v>
      </c>
    </row>
    <row r="2" spans="1:1" ht="14.4">
      <c r="A2" s="60" t="s">
        <v>56</v>
      </c>
    </row>
    <row r="3" spans="1:1" ht="14.4">
      <c r="A3" s="60" t="s">
        <v>47</v>
      </c>
    </row>
    <row r="4" spans="1:1" ht="14.4">
      <c r="A4" s="60" t="s">
        <v>48</v>
      </c>
    </row>
    <row r="5" spans="7:18" ht="15" customHeight="1">
      <c r="G5" s="113" t="s">
        <v>6</v>
      </c>
      <c r="H5" s="113"/>
      <c r="I5" s="113"/>
      <c r="J5" s="113"/>
      <c r="K5" s="113"/>
      <c r="L5" s="113"/>
      <c r="M5" s="113"/>
      <c r="N5" s="113"/>
      <c r="O5" s="113"/>
      <c r="R5" s="5" t="e">
        <f>(D14/B14)*100</f>
        <v>#DIV/0!</v>
      </c>
    </row>
    <row r="6" spans="7:18" ht="15" customHeight="1">
      <c r="G6" s="113"/>
      <c r="H6" s="113"/>
      <c r="I6" s="113"/>
      <c r="J6" s="113"/>
      <c r="K6" s="113"/>
      <c r="L6" s="113"/>
      <c r="M6" s="113"/>
      <c r="N6" s="113"/>
      <c r="O6" s="113"/>
      <c r="R6" s="5" t="e">
        <f>(D15/B15)*100</f>
        <v>#DIV/0!</v>
      </c>
    </row>
    <row r="7" spans="18:18" ht="14.4">
      <c r="R7" s="5" t="e">
        <f>(D16/B16)*100</f>
        <v>#DIV/0!</v>
      </c>
    </row>
    <row r="8" spans="7:18" ht="14.4">
      <c r="G8" s="132" t="s">
        <v>7</v>
      </c>
      <c r="H8" s="132"/>
      <c r="I8" s="132"/>
      <c r="J8" s="131">
        <f>'Method Comparison 20 Samples'!E6</f>
        <v>0</v>
      </c>
      <c r="K8" s="131"/>
      <c r="L8" s="131"/>
      <c r="M8" s="131"/>
      <c r="N8" s="131"/>
      <c r="O8" t="s">
        <v>31</v>
      </c>
      <c r="P8" s="131">
        <f>'Method Comparison 20 Samples'!K6</f>
        <v>0</v>
      </c>
      <c r="Q8" s="131"/>
      <c r="R8" s="5" t="e">
        <f>(D17/B17)*100</f>
        <v>#DIV/0!</v>
      </c>
    </row>
    <row r="9" spans="8:18" ht="14.4">
      <c r="H9" s="132" t="s">
        <v>8</v>
      </c>
      <c r="I9" s="132"/>
      <c r="J9" s="136">
        <f>'Method Comparison 20 Samples'!E7</f>
        <v>0</v>
      </c>
      <c r="K9" s="136"/>
      <c r="L9" s="136"/>
      <c r="M9" s="136"/>
      <c r="N9" s="136"/>
      <c r="O9" t="s">
        <v>36</v>
      </c>
      <c r="R9" s="5" t="e">
        <f>(D18/B18)*100</f>
        <v>#DIV/0!</v>
      </c>
    </row>
    <row r="10" spans="9:18" ht="14.4">
      <c r="I10" s="3" t="s">
        <v>9</v>
      </c>
      <c r="J10" s="136">
        <f>'Method Comparison 20 Samples'!E8</f>
        <v>0</v>
      </c>
      <c r="K10" s="136"/>
      <c r="L10" s="136"/>
      <c r="M10" s="136"/>
      <c r="N10" s="136"/>
      <c r="O10" t="s">
        <v>32</v>
      </c>
      <c r="P10" t="s">
        <v>33</v>
      </c>
      <c r="R10" s="5" t="e">
        <f>(D19/B19)*100</f>
        <v>#DIV/0!</v>
      </c>
    </row>
    <row r="11" spans="9:18" ht="14.4">
      <c r="I11" s="3" t="s">
        <v>10</v>
      </c>
      <c r="J11" s="45" t="str">
        <f>IF('Method Comparison 20 Samples'!E9&gt;0,'Method Comparison 20 Samples'!E9,"Units not entered")</f>
        <v>Units not entered</v>
      </c>
      <c r="K11" s="7"/>
      <c r="O11" s="52">
        <f>'Method Comparison 20 Samples'!J9</f>
        <v>0</v>
      </c>
      <c r="P11" s="52">
        <f>'Method Comparison 20 Samples'!K9</f>
        <v>0</v>
      </c>
      <c r="R11" s="5" t="e">
        <f>(D20/B20)*100</f>
        <v>#DIV/0!</v>
      </c>
    </row>
    <row r="12" spans="18:18" ht="14.4">
      <c r="R12" s="5" t="e">
        <f>(D21/B21)*100</f>
        <v>#DIV/0!</v>
      </c>
    </row>
    <row r="13" spans="1:18" ht="15" thickBot="1">
      <c r="A13" s="50" t="s">
        <v>0</v>
      </c>
      <c r="B13" s="50" t="s">
        <v>1</v>
      </c>
      <c r="C13" s="50" t="s">
        <v>2</v>
      </c>
      <c r="D13" s="51" t="s">
        <v>3</v>
      </c>
      <c r="E13" s="25" t="s">
        <v>15</v>
      </c>
      <c r="R13" s="5" t="e">
        <f>(D22/B22)*100</f>
        <v>#DIV/0!</v>
      </c>
    </row>
    <row r="14" spans="1:18" ht="15" thickTop="1">
      <c r="A14" s="48">
        <v>1</v>
      </c>
      <c r="B14" s="46">
        <f>'Method Comparison 20 Samples'!B13</f>
        <v>0</v>
      </c>
      <c r="C14" s="46">
        <f>'Method Comparison 20 Samples'!C13</f>
        <v>0</v>
      </c>
      <c r="D14">
        <f>C14-B14</f>
        <v>0</v>
      </c>
      <c r="E14" s="5">
        <f>POWER(D14-$D$37,2)</f>
        <v>0</v>
      </c>
      <c r="F14" s="5">
        <f>E14/19</f>
        <v>0</v>
      </c>
      <c r="R14" s="5" t="e">
        <f>(D23/B23)*100</f>
        <v>#DIV/0!</v>
      </c>
    </row>
    <row r="15" spans="1:18" ht="14.4">
      <c r="A15" s="48">
        <f>A14+1</f>
        <v>2</v>
      </c>
      <c r="B15" s="46">
        <f>'Method Comparison 20 Samples'!B14</f>
        <v>0</v>
      </c>
      <c r="C15" s="46">
        <f>'Method Comparison 20 Samples'!C14</f>
        <v>0</v>
      </c>
      <c r="D15">
        <f>C15-B15</f>
        <v>0</v>
      </c>
      <c r="E15" s="5">
        <f>POWER(D15-$D$37,2)</f>
        <v>0</v>
      </c>
      <c r="F15" s="5">
        <f>E15/19</f>
        <v>0</v>
      </c>
      <c r="R15" s="5" t="e">
        <f>(D24/B24)*100</f>
        <v>#DIV/0!</v>
      </c>
    </row>
    <row r="16" spans="1:18" ht="14.4">
      <c r="A16" s="48">
        <f>A15+1</f>
        <v>3</v>
      </c>
      <c r="B16" s="46">
        <f>'Method Comparison 20 Samples'!B15</f>
        <v>0</v>
      </c>
      <c r="C16" s="46">
        <f>'Method Comparison 20 Samples'!C15</f>
        <v>0</v>
      </c>
      <c r="D16">
        <f>C16-B16</f>
        <v>0</v>
      </c>
      <c r="E16" s="5">
        <f>POWER(D16-$D$37,2)</f>
        <v>0</v>
      </c>
      <c r="F16" s="5">
        <f>E16/19</f>
        <v>0</v>
      </c>
      <c r="R16" s="5" t="e">
        <f>(D25/B25)*100</f>
        <v>#DIV/0!</v>
      </c>
    </row>
    <row r="17" spans="1:18" ht="14.4">
      <c r="A17" s="48">
        <f>A16+1</f>
        <v>4</v>
      </c>
      <c r="B17" s="46">
        <f>'Method Comparison 20 Samples'!B16</f>
        <v>0</v>
      </c>
      <c r="C17" s="46">
        <f>'Method Comparison 20 Samples'!C16</f>
        <v>0</v>
      </c>
      <c r="D17">
        <f>C17-B17</f>
        <v>0</v>
      </c>
      <c r="E17" s="5">
        <f>POWER(D17-$D$37,2)</f>
        <v>0</v>
      </c>
      <c r="F17" s="5">
        <f>E17/19</f>
        <v>0</v>
      </c>
      <c r="R17" s="5" t="e">
        <f>(D26/B26)*100</f>
        <v>#DIV/0!</v>
      </c>
    </row>
    <row r="18" spans="1:18" ht="14.4">
      <c r="A18" s="48">
        <f>A17+1</f>
        <v>5</v>
      </c>
      <c r="B18" s="46">
        <f>'Method Comparison 20 Samples'!B17</f>
        <v>0</v>
      </c>
      <c r="C18" s="46">
        <f>'Method Comparison 20 Samples'!C17</f>
        <v>0</v>
      </c>
      <c r="D18">
        <f>C18-B18</f>
        <v>0</v>
      </c>
      <c r="E18" s="5">
        <f>POWER(D18-$D$37,2)</f>
        <v>0</v>
      </c>
      <c r="F18" s="5">
        <f>E18/19</f>
        <v>0</v>
      </c>
      <c r="H18">
        <v>0</v>
      </c>
      <c r="I18" s="11" t="e">
        <f>J40</f>
        <v>#DIV/0!</v>
      </c>
      <c r="R18" s="5" t="e">
        <f>(D27/B27)*100</f>
        <v>#DIV/0!</v>
      </c>
    </row>
    <row r="19" spans="1:18" ht="14.4">
      <c r="A19" s="48">
        <f>A18+1</f>
        <v>6</v>
      </c>
      <c r="B19" s="46">
        <f>'Method Comparison 20 Samples'!B18</f>
        <v>0</v>
      </c>
      <c r="C19" s="46">
        <f>'Method Comparison 20 Samples'!C18</f>
        <v>0</v>
      </c>
      <c r="D19">
        <f>C19-B19</f>
        <v>0</v>
      </c>
      <c r="E19" s="5">
        <f>POWER(D19-$D$37,2)</f>
        <v>0</v>
      </c>
      <c r="F19" s="5">
        <f>E19/19</f>
        <v>0</v>
      </c>
      <c r="H19">
        <f>B14</f>
        <v>0</v>
      </c>
      <c r="I19">
        <f>C14</f>
        <v>0</v>
      </c>
      <c r="R19" s="5" t="e">
        <f>(D28/B28)*100</f>
        <v>#DIV/0!</v>
      </c>
    </row>
    <row r="20" spans="1:18" ht="14.4">
      <c r="A20" s="48">
        <f>A19+1</f>
        <v>7</v>
      </c>
      <c r="B20" s="46">
        <f>'Method Comparison 20 Samples'!B19</f>
        <v>0</v>
      </c>
      <c r="C20" s="46">
        <f>'Method Comparison 20 Samples'!C19</f>
        <v>0</v>
      </c>
      <c r="D20">
        <f>C20-B20</f>
        <v>0</v>
      </c>
      <c r="E20" s="5">
        <f>POWER(D20-$D$37,2)</f>
        <v>0</v>
      </c>
      <c r="F20" s="5">
        <f>E20/19</f>
        <v>0</v>
      </c>
      <c r="P20" s="2"/>
      <c r="R20" s="5" t="e">
        <f>(D29/B29)*100</f>
        <v>#DIV/0!</v>
      </c>
    </row>
    <row r="21" spans="1:18" ht="14.4">
      <c r="A21" s="48">
        <f>A20+1</f>
        <v>8</v>
      </c>
      <c r="B21" s="46">
        <f>'Method Comparison 20 Samples'!B20</f>
        <v>0</v>
      </c>
      <c r="C21" s="46">
        <f>'Method Comparison 20 Samples'!C20</f>
        <v>0</v>
      </c>
      <c r="D21">
        <f>C21-B21</f>
        <v>0</v>
      </c>
      <c r="E21" s="5">
        <f>POWER(D21-$D$37,2)</f>
        <v>0</v>
      </c>
      <c r="F21" s="5">
        <f>E21/19</f>
        <v>0</v>
      </c>
      <c r="G21" s="12"/>
      <c r="M21" s="13"/>
      <c r="N21" s="13"/>
      <c r="R21" s="5" t="e">
        <f>(D30/B30)*100</f>
        <v>#DIV/0!</v>
      </c>
    </row>
    <row r="22" spans="1:18" ht="14.4">
      <c r="A22" s="48">
        <f>A21+1</f>
        <v>9</v>
      </c>
      <c r="B22" s="46">
        <f>'Method Comparison 20 Samples'!B21</f>
        <v>0</v>
      </c>
      <c r="C22" s="46">
        <f>'Method Comparison 20 Samples'!C21</f>
        <v>0</v>
      </c>
      <c r="D22">
        <f>C22-B22</f>
        <v>0</v>
      </c>
      <c r="E22" s="5">
        <f>POWER(D22-$D$37,2)</f>
        <v>0</v>
      </c>
      <c r="F22" s="5">
        <f>E22/19</f>
        <v>0</v>
      </c>
      <c r="M22" s="21"/>
      <c r="N22" s="10"/>
      <c r="R22" s="5" t="e">
        <f>(D31/B31)*100</f>
        <v>#DIV/0!</v>
      </c>
    </row>
    <row r="23" spans="1:18" ht="14.4">
      <c r="A23" s="48">
        <f>A22+1</f>
        <v>10</v>
      </c>
      <c r="B23" s="46">
        <f>'Method Comparison 20 Samples'!B22</f>
        <v>0</v>
      </c>
      <c r="C23" s="46">
        <f>'Method Comparison 20 Samples'!C22</f>
        <v>0</v>
      </c>
      <c r="D23">
        <f>C23-B23</f>
        <v>0</v>
      </c>
      <c r="E23" s="5">
        <f>POWER(D23-$D$37,2)</f>
        <v>0</v>
      </c>
      <c r="F23" s="5">
        <f>E23/19</f>
        <v>0</v>
      </c>
      <c r="M23" s="11"/>
      <c r="N23" s="11"/>
      <c r="R23" s="5" t="e">
        <f>(D32/B32)*100</f>
        <v>#DIV/0!</v>
      </c>
    </row>
    <row r="24" spans="1:18" ht="14.4">
      <c r="A24" s="48">
        <f>A23+1</f>
        <v>11</v>
      </c>
      <c r="B24" s="46">
        <f>'Method Comparison 20 Samples'!B23</f>
        <v>0</v>
      </c>
      <c r="C24" s="46">
        <f>'Method Comparison 20 Samples'!C23</f>
        <v>0</v>
      </c>
      <c r="D24">
        <f>C24-B24</f>
        <v>0</v>
      </c>
      <c r="E24" s="5">
        <f>POWER(D24-$D$37,2)</f>
        <v>0</v>
      </c>
      <c r="F24" s="5">
        <f>E24/19</f>
        <v>0</v>
      </c>
      <c r="R24" s="5" t="e">
        <f>(D33/B33)*100</f>
        <v>#DIV/0!</v>
      </c>
    </row>
    <row r="25" spans="1:6" ht="14.4">
      <c r="A25" s="48">
        <f>A24+1</f>
        <v>12</v>
      </c>
      <c r="B25" s="46">
        <f>'Method Comparison 20 Samples'!B24</f>
        <v>0</v>
      </c>
      <c r="C25" s="46">
        <f>'Method Comparison 20 Samples'!C24</f>
        <v>0</v>
      </c>
      <c r="D25">
        <f>C25-B25</f>
        <v>0</v>
      </c>
      <c r="E25" s="5">
        <f>POWER(D25-$D$37,2)</f>
        <v>0</v>
      </c>
      <c r="F25" s="5">
        <f>E25/19</f>
        <v>0</v>
      </c>
    </row>
    <row r="26" spans="1:6" ht="14.4">
      <c r="A26" s="48">
        <f>A25+1</f>
        <v>13</v>
      </c>
      <c r="B26" s="46">
        <f>'Method Comparison 20 Samples'!B25</f>
        <v>0</v>
      </c>
      <c r="C26" s="46">
        <f>'Method Comparison 20 Samples'!C25</f>
        <v>0</v>
      </c>
      <c r="D26">
        <f>C26-B26</f>
        <v>0</v>
      </c>
      <c r="E26" s="5">
        <f>POWER(D26-$D$37,2)</f>
        <v>0</v>
      </c>
      <c r="F26" s="5">
        <f>E26/19</f>
        <v>0</v>
      </c>
    </row>
    <row r="27" spans="1:6" ht="14.4">
      <c r="A27" s="48">
        <f>A26+1</f>
        <v>14</v>
      </c>
      <c r="B27" s="46">
        <f>'Method Comparison 20 Samples'!B26</f>
        <v>0</v>
      </c>
      <c r="C27" s="46">
        <f>'Method Comparison 20 Samples'!C26</f>
        <v>0</v>
      </c>
      <c r="D27">
        <f>C27-B27</f>
        <v>0</v>
      </c>
      <c r="E27" s="5">
        <f>POWER(D27-$D$37,2)</f>
        <v>0</v>
      </c>
      <c r="F27" s="5">
        <f>E27/19</f>
        <v>0</v>
      </c>
    </row>
    <row r="28" spans="1:18" ht="14.4">
      <c r="A28" s="48">
        <f>A27+1</f>
        <v>15</v>
      </c>
      <c r="B28" s="46">
        <f>'Method Comparison 20 Samples'!B27</f>
        <v>0</v>
      </c>
      <c r="C28" s="46">
        <f>'Method Comparison 20 Samples'!C27</f>
        <v>0</v>
      </c>
      <c r="D28">
        <f>C28-B28</f>
        <v>0</v>
      </c>
      <c r="E28" s="5">
        <f>POWER(D28-$D$37,2)</f>
        <v>0</v>
      </c>
      <c r="F28" s="5">
        <f>E28/19</f>
        <v>0</v>
      </c>
      <c r="G28" s="23"/>
      <c r="H28" s="22" t="s">
        <v>23</v>
      </c>
      <c r="I28" s="1"/>
      <c r="J28" s="22" t="s">
        <v>25</v>
      </c>
      <c r="K28" s="1"/>
      <c r="L28" s="1"/>
      <c r="M28" s="137" t="s">
        <v>27</v>
      </c>
      <c r="N28" s="137"/>
      <c r="O28" s="137"/>
      <c r="P28" s="1"/>
      <c r="Q28" s="1" t="s">
        <v>30</v>
      </c>
      <c r="R28" s="24"/>
    </row>
    <row r="29" spans="1:30" ht="15" thickBot="1">
      <c r="A29" s="48">
        <f>A28+1</f>
        <v>16</v>
      </c>
      <c r="B29" s="46">
        <f>'Method Comparison 20 Samples'!B28</f>
        <v>0</v>
      </c>
      <c r="C29" s="46">
        <f>'Method Comparison 20 Samples'!C28</f>
        <v>0</v>
      </c>
      <c r="D29">
        <f>C29-B29</f>
        <v>0</v>
      </c>
      <c r="E29" s="5">
        <f>POWER(D29-$D$37,2)</f>
        <v>0</v>
      </c>
      <c r="F29" s="5">
        <f>E29/19</f>
        <v>0</v>
      </c>
      <c r="G29" s="53"/>
      <c r="H29" s="54" t="s">
        <v>24</v>
      </c>
      <c r="I29" s="54"/>
      <c r="J29" s="54" t="s">
        <v>26</v>
      </c>
      <c r="K29" s="54"/>
      <c r="L29" s="54"/>
      <c r="M29" s="55" t="s">
        <v>28</v>
      </c>
      <c r="N29" s="56"/>
      <c r="O29" s="56" t="s">
        <v>29</v>
      </c>
      <c r="P29" s="56"/>
      <c r="Q29" s="56"/>
      <c r="R29" s="57"/>
      <c r="T29" s="28"/>
      <c r="U29" s="28"/>
      <c r="V29" s="28"/>
      <c r="W29" s="28"/>
      <c r="X29" s="28"/>
      <c r="Y29" s="28"/>
      <c r="Z29" s="28"/>
      <c r="AA29" s="28"/>
      <c r="AB29" s="28"/>
      <c r="AC29" s="28"/>
      <c r="AD29" s="28"/>
    </row>
    <row r="30" spans="1:30" ht="15" thickTop="1">
      <c r="A30" s="48">
        <f>A29+1</f>
        <v>17</v>
      </c>
      <c r="B30" s="46">
        <f>'Method Comparison 20 Samples'!B29</f>
        <v>0</v>
      </c>
      <c r="C30" s="46">
        <f>'Method Comparison 20 Samples'!C29</f>
        <v>0</v>
      </c>
      <c r="D30">
        <f>C30-B30</f>
        <v>0</v>
      </c>
      <c r="E30" s="5">
        <f>POWER(D30-$D$37,2)</f>
        <v>0</v>
      </c>
      <c r="F30" s="5">
        <f>E30/19</f>
        <v>0</v>
      </c>
      <c r="G30" s="39">
        <f>IF(($P$11/100)*H30&gt;$O$11,($P$11/100)*H30,$O$11)</f>
        <v>0</v>
      </c>
      <c r="H30" s="31"/>
      <c r="J30" s="38" t="e">
        <f>IF((H30*$J$39)+$J$40&gt;0,(H30*$J$39)+$J$40,"-")</f>
        <v>#DIV/0!</v>
      </c>
      <c r="M30" s="37" t="str">
        <f>IF(H30&gt;0,(H30*($J$39-$L$39))+($J$40-$L$40),"-")</f>
        <v>-</v>
      </c>
      <c r="O30" s="20" t="str">
        <f>IF(H30&gt;0,(H30*($J$39+$L$39))+($J$40+$L$40),"-")</f>
        <v>-</v>
      </c>
      <c r="Q30" t="e">
        <f>IF(AND(ABS(M30-H30)&lt;G30,ABS(O30-H30)&lt;G30),"Acceptable","Unacceptable")</f>
        <v>#VALUE!</v>
      </c>
      <c r="R30" s="8"/>
      <c r="T30" s="27"/>
      <c r="AD30" s="27"/>
    </row>
    <row r="31" spans="1:30" ht="14.4">
      <c r="A31" s="48">
        <f>A30+1</f>
        <v>18</v>
      </c>
      <c r="B31" s="46">
        <f>'Method Comparison 20 Samples'!B30</f>
        <v>0</v>
      </c>
      <c r="C31" s="46">
        <f>'Method Comparison 20 Samples'!C30</f>
        <v>0</v>
      </c>
      <c r="D31">
        <f>C31-B31</f>
        <v>0</v>
      </c>
      <c r="E31" s="5">
        <f>POWER(D31-$D$37,2)</f>
        <v>0</v>
      </c>
      <c r="F31" s="5">
        <f>E31/19</f>
        <v>0</v>
      </c>
      <c r="G31" s="39">
        <f>IF(($P$11/100)*H31&gt;$O$11,($P$11/100)*H31,$O$11)</f>
        <v>0</v>
      </c>
      <c r="H31" s="32"/>
      <c r="J31" s="38" t="e">
        <f>IF((H31*J39)+J40&gt;0,(H31*J39)+J40,"-")</f>
        <v>#DIV/0!</v>
      </c>
      <c r="M31" s="37" t="str">
        <f>IF(H31&gt;0,(H31*($J$39-$L$39))+($J$40-$L$40),"-")</f>
        <v>-</v>
      </c>
      <c r="O31" s="20" t="str">
        <f>IF(H31&gt;0,(H31*($J$39+$L$39))+($J$40+$L$40),"-")</f>
        <v>-</v>
      </c>
      <c r="Q31" t="e">
        <f>IF(AND(ABS(M31-H31)&lt;G31,ABS(O31-H31)&lt;G31),"Acceptable","Unacceptable")</f>
        <v>#VALUE!</v>
      </c>
      <c r="R31" s="8"/>
      <c r="T31" s="27"/>
      <c r="AD31" s="27"/>
    </row>
    <row r="32" spans="1:30" ht="14.4">
      <c r="A32" s="48">
        <f>A31+1</f>
        <v>19</v>
      </c>
      <c r="B32" s="46">
        <f>'Method Comparison 20 Samples'!B31</f>
        <v>0</v>
      </c>
      <c r="C32" s="46">
        <f>'Method Comparison 20 Samples'!C31</f>
        <v>0</v>
      </c>
      <c r="D32">
        <f>C32-B32</f>
        <v>0</v>
      </c>
      <c r="E32" s="5">
        <f>POWER(D32-$D$37,2)</f>
        <v>0</v>
      </c>
      <c r="F32" s="5">
        <f>E32/19</f>
        <v>0</v>
      </c>
      <c r="G32" s="39">
        <f>IF(($P$11/100)*H32&gt;$O$11,($P$11/100)*H32,$O$11)</f>
        <v>0</v>
      </c>
      <c r="H32" s="32"/>
      <c r="J32" s="38" t="e">
        <f>IF((H32*J39)+J40&gt;0,(H32*J39)+J40,"-")</f>
        <v>#DIV/0!</v>
      </c>
      <c r="M32" s="37" t="str">
        <f>IF(H32&gt;0,(H32*($J$39-$L$39))+($J$40-$L$40),"-")</f>
        <v>-</v>
      </c>
      <c r="O32" s="20" t="str">
        <f>IF(H32&gt;0,(H32*($J$39+$L$39))+($J$40+$L$40),"-")</f>
        <v>-</v>
      </c>
      <c r="Q32" t="e">
        <f>IF(AND(ABS(M32-H32)&lt;G32,ABS(O32-H32)&lt;G32),"Acceptable","Unacceptable")</f>
        <v>#VALUE!</v>
      </c>
      <c r="R32" s="8"/>
      <c r="T32" s="27"/>
      <c r="U32" s="33"/>
      <c r="V32" s="33"/>
      <c r="AD32" s="27"/>
    </row>
    <row r="33" spans="1:30" ht="15" thickBot="1">
      <c r="A33" s="49">
        <f>A32+1</f>
        <v>20</v>
      </c>
      <c r="B33" s="47">
        <f>'Method Comparison 20 Samples'!B32</f>
        <v>0</v>
      </c>
      <c r="C33" s="47">
        <f>'Method Comparison 20 Samples'!C32</f>
        <v>0</v>
      </c>
      <c r="D33" s="29">
        <f>C33-B33</f>
        <v>0</v>
      </c>
      <c r="E33" s="5">
        <f>POWER(D33-$D$37,2)</f>
        <v>0</v>
      </c>
      <c r="F33" s="5">
        <f>E33/19</f>
        <v>0</v>
      </c>
      <c r="G33" s="39">
        <f>IF(($P$11/100)*H33&gt;$O$11,($P$11/100)*H33,$O$11)</f>
        <v>0</v>
      </c>
      <c r="H33" s="32"/>
      <c r="J33" s="38" t="e">
        <f>IF((H33*J39)+J40&gt;0,(H33*J39)+J40,"-")</f>
        <v>#DIV/0!</v>
      </c>
      <c r="M33" s="37" t="str">
        <f>IF(H33&gt;0,(H33*($J$39-$L$39))+($J$40-$L$40),"-")</f>
        <v>-</v>
      </c>
      <c r="O33" s="20" t="str">
        <f>IF(H33&gt;0,(H33*($J$39+$L$39))+($J$40+$L$40),"-")</f>
        <v>-</v>
      </c>
      <c r="Q33" t="e">
        <f>IF(AND(ABS(M33-H33)&lt;G33,ABS(O33-H33)&lt;G33),"Acceptable","Unacceptable")</f>
        <v>#VALUE!</v>
      </c>
      <c r="R33" s="8"/>
      <c r="T33" s="27"/>
      <c r="AD33" s="27"/>
    </row>
    <row r="34" spans="1:30" ht="15" thickTop="1">
      <c r="A34" s="48" t="s">
        <v>4</v>
      </c>
      <c r="B34">
        <f>AVERAGE(B14:B33)</f>
        <v>0</v>
      </c>
      <c r="C34">
        <f>AVERAGE(C14:C33)</f>
        <v>0</v>
      </c>
      <c r="D34">
        <f>AVERAGE(D14:D33)</f>
        <v>0</v>
      </c>
      <c r="E34" s="5">
        <f>POWER(D34-$D$37,2)</f>
        <v>0</v>
      </c>
      <c r="F34" s="5">
        <f>SUM(F14:F33)</f>
        <v>0</v>
      </c>
      <c r="G34" s="39">
        <f>IF(($P$11/100)*H34&gt;$O$11,($P$11/100)*H34,$O$11)</f>
        <v>0</v>
      </c>
      <c r="H34" s="31"/>
      <c r="J34" s="38" t="e">
        <f>IF((H34*J39)+J40&gt;0,(H34*J39)+J40,"-")</f>
        <v>#DIV/0!</v>
      </c>
      <c r="M34" s="37" t="str">
        <f>IF(H34&gt;0,(H34*($J$39-$L$39))+($J$40-$L$40),"-")</f>
        <v>-</v>
      </c>
      <c r="O34" s="20" t="str">
        <f>IF(H34&gt;0,(H34*($J$39+$L$39))+($J$40+$L$40),"-")</f>
        <v>-</v>
      </c>
      <c r="Q34" t="e">
        <f>IF(AND(ABS(M34-H34)&lt;G34,ABS(O34-H34)&lt;G34),"Acceptable","Unacceptable")</f>
        <v>#VALUE!</v>
      </c>
      <c r="R34" s="8"/>
      <c r="T34" s="27"/>
      <c r="AD34" s="27"/>
    </row>
    <row r="35" spans="1:30" ht="14.4">
      <c r="A35" s="48" t="s">
        <v>5</v>
      </c>
      <c r="B35">
        <f>STDEV(B13:B33)</f>
        <v>0</v>
      </c>
      <c r="C35" s="10">
        <f>STDEV(C14:C33)</f>
        <v>0</v>
      </c>
      <c r="D35">
        <f>STDEV(D14:D33)</f>
        <v>0</v>
      </c>
      <c r="G35" s="40">
        <f>IF(($P$11/100)*H35&gt;$O$11,($P$11/100)*H35,$O$11)</f>
        <v>0</v>
      </c>
      <c r="H35" s="45"/>
      <c r="I35" s="6"/>
      <c r="J35" s="41"/>
      <c r="K35" s="6"/>
      <c r="L35" s="6"/>
      <c r="M35" s="42"/>
      <c r="N35" s="6"/>
      <c r="O35" s="43"/>
      <c r="P35" s="6"/>
      <c r="Q35" s="6"/>
      <c r="R35" s="9"/>
      <c r="T35" s="27"/>
      <c r="AD35" s="27"/>
    </row>
    <row r="36" spans="1:30" ht="14.4">
      <c r="A36" s="48" t="s">
        <v>16</v>
      </c>
      <c r="D36">
        <f>C34-B34</f>
        <v>0</v>
      </c>
      <c r="E36" s="5">
        <f>E34/19</f>
        <v>0</v>
      </c>
      <c r="T36" s="27"/>
      <c r="AD36" s="27"/>
    </row>
    <row r="37" spans="4:30" ht="14.4">
      <c r="D37" s="28">
        <f>ABS(D36)</f>
        <v>0</v>
      </c>
      <c r="T37" s="27"/>
      <c r="AD37" s="27"/>
    </row>
    <row r="38" spans="8:30" ht="14.4">
      <c r="H38" s="12"/>
      <c r="I38" s="133" t="s">
        <v>13</v>
      </c>
      <c r="J38" s="134"/>
      <c r="K38" s="134"/>
      <c r="L38" s="135"/>
      <c r="T38" s="27"/>
      <c r="AD38" s="27"/>
    </row>
    <row r="39" spans="1:30" ht="14.4">
      <c r="A39" s="27"/>
      <c r="B39" s="27"/>
      <c r="C39" s="27"/>
      <c r="D39" s="27"/>
      <c r="E39" s="27"/>
      <c r="F39" s="27"/>
      <c r="G39" s="27"/>
      <c r="H39" s="14"/>
      <c r="I39" s="15" t="s">
        <v>11</v>
      </c>
      <c r="J39" s="10" t="e">
        <f>SLOPE(C14:C33,B14:B33)</f>
        <v>#DIV/0!</v>
      </c>
      <c r="K39" s="19" t="s">
        <v>19</v>
      </c>
      <c r="L39" s="35">
        <f>N40</f>
        <v>0</v>
      </c>
      <c r="N39" s="28">
        <f t="array" ref="N39:O43">LINEST(C14:C33,B14:B33,TRUE,TRUE)</f>
        <v>0</v>
      </c>
      <c r="O39" s="28">
        <v>0</v>
      </c>
      <c r="T39" s="27"/>
      <c r="AD39" s="27"/>
    </row>
    <row r="40" spans="1:30" ht="14.4">
      <c r="A40" s="27"/>
      <c r="B40" s="28" t="s">
        <v>35</v>
      </c>
      <c r="C40" s="28">
        <f>INDEX(LINEST(C14:C33,B14:B33,1,1),1,2)</f>
        <v>0</v>
      </c>
      <c r="D40" s="27"/>
      <c r="E40" s="27"/>
      <c r="F40" s="27"/>
      <c r="G40" s="27"/>
      <c r="H40" s="14"/>
      <c r="I40" s="16" t="s">
        <v>12</v>
      </c>
      <c r="J40" s="11" t="e">
        <f>INTERCEPT(C14:C33,B14:B33)</f>
        <v>#DIV/0!</v>
      </c>
      <c r="K40" s="19" t="s">
        <v>19</v>
      </c>
      <c r="L40" s="36">
        <f>O40</f>
        <v>0</v>
      </c>
      <c r="N40" s="28">
        <v>0</v>
      </c>
      <c r="O40" s="28">
        <v>0</v>
      </c>
      <c r="T40" s="27"/>
      <c r="U40" s="34"/>
      <c r="V40" s="34"/>
      <c r="W40" s="34"/>
      <c r="X40" s="34"/>
      <c r="Y40" s="34"/>
      <c r="Z40" s="34"/>
      <c r="AD40" s="27"/>
    </row>
    <row r="41" spans="1:30" ht="14.4">
      <c r="A41" s="27"/>
      <c r="B41" s="28">
        <v>0</v>
      </c>
      <c r="C41" s="28">
        <v>0</v>
      </c>
      <c r="D41" s="27"/>
      <c r="E41" s="27"/>
      <c r="F41" s="27"/>
      <c r="G41" s="27"/>
      <c r="I41" s="17" t="s">
        <v>14</v>
      </c>
      <c r="J41" s="18" t="e">
        <f>STEYX(C14:C33,B14:B33)</f>
        <v>#DIV/0!</v>
      </c>
      <c r="K41" s="6"/>
      <c r="L41" s="9"/>
      <c r="N41" s="28">
        <v>1</v>
      </c>
      <c r="O41" s="28">
        <v>0</v>
      </c>
      <c r="T41" s="27"/>
      <c r="AD41" s="27"/>
    </row>
    <row r="42" spans="1:30" ht="14.4">
      <c r="A42" s="27"/>
      <c r="B42" s="28">
        <f>IF(B14*($P$11/100)&gt;$O$11,B14+(B14*($P$11/100)),B14+$O$11)</f>
        <v>0</v>
      </c>
      <c r="C42" s="28">
        <f>IF($B14*($P$11/100)&gt;$O$11,$B14-($B14*($P$11/100)),$B14-$O$11)</f>
        <v>0</v>
      </c>
      <c r="D42" s="27"/>
      <c r="E42" s="27"/>
      <c r="F42" s="27"/>
      <c r="G42" s="27"/>
      <c r="I42" s="14" t="s">
        <v>34</v>
      </c>
      <c r="J42" s="26">
        <f>INDEX(LINEST(C14:C33,B14:B33,1,1),2,1)</f>
        <v>0</v>
      </c>
      <c r="N42" s="28" t="e">
        <v>#NUM!</v>
      </c>
      <c r="O42" s="28">
        <v>18</v>
      </c>
      <c r="T42" s="27"/>
      <c r="AD42" s="27"/>
    </row>
    <row r="43" spans="1:30" ht="14.4">
      <c r="A43" s="27"/>
      <c r="B43" s="28">
        <f>IF(B15*($P$11/100)&gt;$O$11,B15+(B15*($P$11/100)),B15+$O$11)</f>
        <v>0</v>
      </c>
      <c r="C43" s="28">
        <f>IF($B15*($P$11/100)&gt;$O$11,$B15-($B15*($P$11/100)),$B15-$O$11)</f>
        <v>0</v>
      </c>
      <c r="D43" s="27"/>
      <c r="E43" s="27"/>
      <c r="F43" s="27"/>
      <c r="G43" s="27"/>
      <c r="H43" s="132" t="s">
        <v>17</v>
      </c>
      <c r="I43" s="132"/>
      <c r="J43" s="26" t="e">
        <f>CORREL(B14:B33,C14:C33)</f>
        <v>#DIV/0!</v>
      </c>
      <c r="N43" s="28">
        <v>0</v>
      </c>
      <c r="O43" s="28">
        <v>0</v>
      </c>
      <c r="T43" s="27"/>
      <c r="AD43" s="27"/>
    </row>
    <row r="44" spans="1:30" ht="14.4">
      <c r="A44" s="27"/>
      <c r="B44" s="28">
        <f>IF(B16*($P$11/100)&gt;$O$11,B16+(B16*($P$11/100)),B16+$O$11)</f>
        <v>0</v>
      </c>
      <c r="C44" s="28">
        <f>IF($B16*($P$11/100)&gt;$O$11,$B16-($B16*($P$11/100)),$B16-$O$11)</f>
        <v>0</v>
      </c>
      <c r="D44" s="27"/>
      <c r="E44" s="27"/>
      <c r="F44" s="27"/>
      <c r="G44" s="27"/>
      <c r="H44" s="132" t="s">
        <v>18</v>
      </c>
      <c r="I44" s="132"/>
      <c r="J44" s="11">
        <f>D36</f>
        <v>0</v>
      </c>
      <c r="T44" s="27"/>
      <c r="AD44" s="27"/>
    </row>
    <row r="45" spans="1:30" ht="14.4">
      <c r="A45" s="27"/>
      <c r="B45" s="28">
        <f>IF(B17*($P$11/100)&gt;$O$11,B17+(B17*($P$11/100)),B17+$O$11)</f>
        <v>0</v>
      </c>
      <c r="C45" s="28">
        <f>IF($B17*($P$11/100)&gt;$O$11,$B17-($B17*($P$11/100)),$B17-$O$11)</f>
        <v>0</v>
      </c>
      <c r="D45" s="27"/>
      <c r="E45" s="27"/>
      <c r="F45" s="27"/>
      <c r="G45" s="27"/>
      <c r="H45" s="132" t="s">
        <v>22</v>
      </c>
      <c r="I45" s="132"/>
      <c r="J45" s="11">
        <f>B34</f>
        <v>0</v>
      </c>
      <c r="K45" s="19" t="s">
        <v>19</v>
      </c>
      <c r="L45" s="20">
        <f>B35</f>
        <v>0</v>
      </c>
      <c r="T45" s="27"/>
      <c r="U45" s="34"/>
      <c r="V45" s="34"/>
      <c r="W45" s="34"/>
      <c r="X45" s="34"/>
      <c r="Y45" s="34"/>
      <c r="Z45" s="34"/>
      <c r="AA45" s="34"/>
      <c r="AB45" s="34"/>
      <c r="AC45" s="34"/>
      <c r="AD45" s="27"/>
    </row>
    <row r="46" spans="1:30" ht="14.4">
      <c r="A46" s="27"/>
      <c r="B46" s="28">
        <f>IF(B18*($P$11/100)&gt;$O$11,B18+(B18*($P$11/100)),B18+$O$11)</f>
        <v>0</v>
      </c>
      <c r="C46" s="28">
        <f>IF($B18*($P$11/100)&gt;$O$11,$B18-($B18*($P$11/100)),$B18-$O$11)</f>
        <v>0</v>
      </c>
      <c r="D46" s="27"/>
      <c r="E46" s="27"/>
      <c r="F46" s="27"/>
      <c r="G46" s="27"/>
      <c r="H46" s="132" t="s">
        <v>21</v>
      </c>
      <c r="I46" s="132"/>
      <c r="J46" s="11">
        <f>C34</f>
        <v>0</v>
      </c>
      <c r="K46" s="19" t="s">
        <v>19</v>
      </c>
      <c r="L46" s="20">
        <f>C35</f>
        <v>0</v>
      </c>
      <c r="T46" s="27"/>
      <c r="AD46" s="27"/>
    </row>
    <row r="47" spans="1:30" ht="14.4">
      <c r="A47" s="27"/>
      <c r="B47" s="28">
        <f>IF(B19*($P$11/100)&gt;$O$11,B19+(B19*($P$11/100)),B19+$O$11)</f>
        <v>0</v>
      </c>
      <c r="C47" s="28">
        <f>IF($B19*($P$11/100)&gt;$O$11,$B19-($B19*($P$11/100)),$B19-$O$11)</f>
        <v>0</v>
      </c>
      <c r="D47" s="27"/>
      <c r="E47" s="27"/>
      <c r="F47" s="27"/>
      <c r="G47" s="27"/>
      <c r="H47" s="132" t="s">
        <v>20</v>
      </c>
      <c r="I47" s="132"/>
      <c r="J47" s="11">
        <f>SQRT(E36)</f>
        <v>0</v>
      </c>
      <c r="T47" s="27"/>
      <c r="AD47" s="27"/>
    </row>
    <row r="48" spans="1:30" ht="14.4">
      <c r="A48" s="27"/>
      <c r="B48" s="28">
        <f>IF(B20*($P$11/100)&gt;$O$11,B20+(B20*($P$11/100)),B20+$O$11)</f>
        <v>0</v>
      </c>
      <c r="C48" s="28">
        <f>IF($B20*($P$11/100)&gt;$O$11,$B20-($B20*($P$11/100)),$B20-$O$11)</f>
        <v>0</v>
      </c>
      <c r="D48" s="27"/>
      <c r="E48" s="27"/>
      <c r="F48" s="27"/>
      <c r="G48" s="27"/>
      <c r="T48" s="27"/>
      <c r="AD48" s="27"/>
    </row>
    <row r="49" spans="1:30" ht="14.4">
      <c r="A49" s="27"/>
      <c r="B49" s="28">
        <f>IF(B21*($P$11/100)&gt;$O$11,B21+(B21*($P$11/100)),B21+$O$11)</f>
        <v>0</v>
      </c>
      <c r="C49" s="28">
        <f>IF($B21*($P$11/100)&gt;$O$11,$B21-($B21*($P$11/100)),$B21-$O$11)</f>
        <v>0</v>
      </c>
      <c r="D49" s="27"/>
      <c r="E49" s="27"/>
      <c r="F49" s="27"/>
      <c r="G49" s="27"/>
      <c r="T49" s="27"/>
      <c r="AD49" s="27"/>
    </row>
    <row r="50" spans="1:30" ht="14.4">
      <c r="A50" s="27"/>
      <c r="B50" s="28">
        <f>IF(B22*($P$11/100)&gt;$O$11,B22+(B22*($P$11/100)),B22+$O$11)</f>
        <v>0</v>
      </c>
      <c r="C50" s="28">
        <f>IF($B22*($P$11/100)&gt;$O$11,$B22-($B22*($P$11/100)),$B22-$O$11)</f>
        <v>0</v>
      </c>
      <c r="D50" s="27"/>
      <c r="E50" s="27"/>
      <c r="F50" s="27"/>
      <c r="G50" s="27"/>
      <c r="T50" s="27"/>
      <c r="AD50" s="27"/>
    </row>
    <row r="51" spans="1:30" ht="14.4">
      <c r="A51" s="27"/>
      <c r="B51" s="28">
        <f>IF(B23*($P$11/100)&gt;$O$11,B23+(B23*($P$11/100)),B23+$O$11)</f>
        <v>0</v>
      </c>
      <c r="C51" s="28">
        <f>IF($B23*($P$11/100)&gt;$O$11,$B23-($B23*($P$11/100)),$B23-$O$11)</f>
        <v>0</v>
      </c>
      <c r="D51" s="27"/>
      <c r="E51" s="27"/>
      <c r="F51" s="27"/>
      <c r="G51" s="27"/>
      <c r="T51" s="27"/>
      <c r="U51" s="27"/>
      <c r="V51" s="27"/>
      <c r="W51" s="27"/>
      <c r="X51" s="27"/>
      <c r="Y51" s="27"/>
      <c r="Z51" s="27"/>
      <c r="AA51" s="27"/>
      <c r="AB51" s="27"/>
      <c r="AC51" s="27"/>
      <c r="AD51" s="27"/>
    </row>
    <row r="52" spans="1:30" ht="14.4">
      <c r="A52" s="27"/>
      <c r="B52" s="28">
        <f>IF(B24*($P$11/100)&gt;$O$11,B24+(B24*($P$11/100)),B24+$O$11)</f>
        <v>0</v>
      </c>
      <c r="C52" s="28">
        <f>IF($B24*($P$11/100)&gt;$O$11,$B24-($B24*($P$11/100)),$B24-$O$11)</f>
        <v>0</v>
      </c>
      <c r="D52" s="27"/>
      <c r="E52" s="27"/>
      <c r="F52" s="27"/>
      <c r="G52" s="27"/>
      <c r="H52" s="33"/>
      <c r="I52" s="33"/>
      <c r="T52" s="27"/>
      <c r="U52" s="27"/>
      <c r="V52" s="27"/>
      <c r="W52" s="27"/>
      <c r="X52" s="27"/>
      <c r="Y52" s="27"/>
      <c r="Z52" s="27"/>
      <c r="AA52" s="27"/>
      <c r="AB52" s="27"/>
      <c r="AC52" s="27"/>
      <c r="AD52" s="27"/>
    </row>
    <row r="53" spans="1:7" ht="14.4">
      <c r="A53" s="27"/>
      <c r="B53" s="28">
        <f>IF(B25*($P$11/100)&gt;$O$11,B25+(B25*($P$11/100)),B25+$O$11)</f>
        <v>0</v>
      </c>
      <c r="C53" s="28">
        <f>IF($B25*($P$11/100)&gt;$O$11,$B25-($B25*($P$11/100)),$B25-$O$11)</f>
        <v>0</v>
      </c>
      <c r="D53" s="27"/>
      <c r="E53" s="27"/>
      <c r="F53" s="27"/>
      <c r="G53" s="27"/>
    </row>
    <row r="54" spans="1:7" ht="14.4">
      <c r="A54" s="27"/>
      <c r="B54" s="28">
        <f>IF(B26*($P$11/100)&gt;$O$11,B26+(B26*($P$11/100)),B26+$O$11)</f>
        <v>0</v>
      </c>
      <c r="C54" s="28">
        <f>IF($B26*($P$11/100)&gt;$O$11,$B26-($B26*($P$11/100)),$B26-$O$11)</f>
        <v>0</v>
      </c>
      <c r="D54" s="27"/>
      <c r="E54" s="27"/>
      <c r="F54" s="27"/>
      <c r="G54" s="27"/>
    </row>
    <row r="55" spans="1:7" ht="14.4">
      <c r="A55" s="27"/>
      <c r="B55" s="28">
        <f>IF(B27*($P$11/100)&gt;$O$11,B27+(B27*($P$11/100)),B27+$O$11)</f>
        <v>0</v>
      </c>
      <c r="C55" s="28">
        <f>IF($B27*($P$11/100)&gt;$O$11,$B27-($B27*($P$11/100)),$B27-$O$11)</f>
        <v>0</v>
      </c>
      <c r="D55" s="27"/>
      <c r="E55" s="27"/>
      <c r="F55" s="27"/>
      <c r="G55" s="27"/>
    </row>
    <row r="56" spans="1:7" ht="14.4">
      <c r="A56" s="27"/>
      <c r="B56" s="28">
        <f>IF(B28*($P$11/100)&gt;$O$11,B28+(B28*($P$11/100)),B28+$O$11)</f>
        <v>0</v>
      </c>
      <c r="C56" s="28">
        <f>IF($B28*($P$11/100)&gt;$O$11,$B28-($B28*($P$11/100)),$B28-$O$11)</f>
        <v>0</v>
      </c>
      <c r="D56" s="27"/>
      <c r="E56" s="27"/>
      <c r="F56" s="27"/>
      <c r="G56" s="27"/>
    </row>
    <row r="57" spans="1:7" ht="14.4">
      <c r="A57" s="27"/>
      <c r="B57" s="28">
        <f>IF(B29*($P$11/100)&gt;$O$11,B29+(B29*($P$11/100)),B29+$O$11)</f>
        <v>0</v>
      </c>
      <c r="C57" s="28">
        <f>IF($B29*($P$11/100)&gt;$O$11,$B29-($B29*($P$11/100)),$B29-$O$11)</f>
        <v>0</v>
      </c>
      <c r="D57" s="27"/>
      <c r="E57" s="27"/>
      <c r="F57" s="27"/>
      <c r="G57" s="27"/>
    </row>
    <row r="58" spans="1:7" ht="14.4">
      <c r="A58" s="27"/>
      <c r="B58" s="28">
        <f>IF(B30*($P$11/100)&gt;$O$11,B30+(B30*($P$11/100)),B30+$O$11)</f>
        <v>0</v>
      </c>
      <c r="C58" s="28">
        <f>IF($B30*($P$11/100)&gt;$O$11,$B30-($B30*($P$11/100)),$B30-$O$11)</f>
        <v>0</v>
      </c>
      <c r="D58" s="27"/>
      <c r="E58" s="27"/>
      <c r="F58" s="27"/>
      <c r="G58" s="27"/>
    </row>
    <row r="59" spans="1:7" ht="14.4">
      <c r="A59" s="27"/>
      <c r="B59" s="28">
        <f>IF(B31*($P$11/100)&gt;$O$11,B31+(B31*($P$11/100)),B31+$O$11)</f>
        <v>0</v>
      </c>
      <c r="C59" s="28">
        <f>IF($B31*($P$11/100)&gt;$O$11,$B31-($B31*($P$11/100)),$B31-$O$11)</f>
        <v>0</v>
      </c>
      <c r="D59" s="27"/>
      <c r="E59" s="27"/>
      <c r="F59" s="27"/>
      <c r="G59" s="27"/>
    </row>
    <row r="60" spans="1:13" ht="14.4">
      <c r="A60" s="27"/>
      <c r="B60" s="28">
        <f>IF(B32*($P$11/100)&gt;$O$11,B32+(B32*($P$11/100)),B32+$O$11)</f>
        <v>0</v>
      </c>
      <c r="C60" s="28">
        <f>IF($B32*($P$11/100)&gt;$O$11,$B32-($B32*($P$11/100)),$B32-$O$11)</f>
        <v>0</v>
      </c>
      <c r="D60" s="27"/>
      <c r="E60" s="27"/>
      <c r="F60" s="27"/>
      <c r="G60" s="27"/>
      <c r="H60" s="34"/>
      <c r="I60" s="34"/>
      <c r="J60" s="34"/>
      <c r="K60" s="34"/>
      <c r="L60" s="34"/>
      <c r="M60" s="34"/>
    </row>
    <row r="61" spans="1:7" ht="14.4">
      <c r="A61" s="27"/>
      <c r="B61" s="28">
        <f>IF(B33*($P$11/100)&gt;$O$11,B33+(B33*($P$11/100)),B33+$O$11)</f>
        <v>0</v>
      </c>
      <c r="C61" s="28">
        <f>IF($B33*($P$11/100)&gt;$O$11,$B33-($B33*($P$11/100)),$B33-$O$11)</f>
        <v>0</v>
      </c>
      <c r="D61" s="27"/>
      <c r="E61" s="27"/>
      <c r="F61" s="27"/>
      <c r="G61" s="27"/>
    </row>
    <row r="62" spans="1:7" ht="14.4">
      <c r="A62" s="27"/>
      <c r="B62" s="27"/>
      <c r="C62" s="27"/>
      <c r="D62" s="27"/>
      <c r="E62" s="27"/>
      <c r="F62" s="27"/>
      <c r="G62" s="27"/>
    </row>
    <row r="63" spans="1:7" ht="14.4">
      <c r="A63" s="27"/>
      <c r="B63" s="27"/>
      <c r="C63" s="27"/>
      <c r="D63" s="27"/>
      <c r="E63" s="27"/>
      <c r="F63" s="27"/>
      <c r="G63" s="27"/>
    </row>
    <row r="64" spans="1:6" ht="14.4">
      <c r="A64" s="27"/>
      <c r="B64" s="27"/>
      <c r="C64" s="27"/>
      <c r="D64" s="27"/>
      <c r="E64" s="27"/>
      <c r="F64" s="27"/>
    </row>
    <row r="65" spans="1:16" ht="14.4">
      <c r="A65" s="27"/>
      <c r="B65" s="27"/>
      <c r="C65" s="27"/>
      <c r="D65" s="27"/>
      <c r="E65" s="27"/>
      <c r="F65" s="27"/>
      <c r="H65" s="34"/>
      <c r="I65" s="34"/>
      <c r="J65" s="34"/>
      <c r="K65" s="34"/>
      <c r="L65" s="34"/>
      <c r="M65" s="34"/>
      <c r="N65" s="34"/>
      <c r="O65" s="34"/>
      <c r="P65" s="34"/>
    </row>
    <row r="66" spans="1:6" ht="14.4">
      <c r="A66" s="27"/>
      <c r="B66" s="27"/>
      <c r="C66" s="27"/>
      <c r="D66" s="27"/>
      <c r="E66" s="27"/>
      <c r="F66" s="27"/>
    </row>
    <row r="67" spans="1:6" ht="14.4">
      <c r="A67" s="27"/>
      <c r="B67" s="27"/>
      <c r="C67" s="27"/>
      <c r="D67" s="27"/>
      <c r="E67" s="27"/>
      <c r="F67" s="27"/>
    </row>
    <row r="68" spans="1:6" ht="14.4">
      <c r="A68" s="27"/>
      <c r="B68" s="27"/>
      <c r="C68" s="27"/>
      <c r="D68" s="27"/>
      <c r="E68" s="27"/>
      <c r="F68" s="27"/>
    </row>
    <row r="69" spans="1:6" ht="14.4">
      <c r="A69" s="27"/>
      <c r="B69" s="27"/>
      <c r="C69" s="27"/>
      <c r="D69" s="27"/>
      <c r="E69" s="27"/>
      <c r="F69" s="27"/>
    </row>
    <row r="70" spans="1:6" ht="14.4">
      <c r="A70" s="27"/>
      <c r="B70" s="27"/>
      <c r="C70" s="27"/>
      <c r="D70" s="27"/>
      <c r="E70" s="27"/>
      <c r="F70" s="27"/>
    </row>
    <row r="71" spans="1:6" ht="14.4">
      <c r="A71" s="27"/>
      <c r="B71" s="27"/>
      <c r="C71" s="27"/>
      <c r="D71" s="27"/>
      <c r="E71" s="27"/>
      <c r="F71" s="27"/>
    </row>
    <row r="73" spans="8:14" ht="14.4">
      <c r="H73" s="34"/>
      <c r="I73" s="34"/>
      <c r="J73" s="34"/>
      <c r="K73" s="34"/>
      <c r="M73" s="34"/>
      <c r="N73" s="34"/>
    </row>
  </sheetData>
  <sheetProtection password="DE59" sheet="1" objects="1" scenarios="1" selectLockedCells="1"/>
  <mergeCells count="14">
    <mergeCell ref="G5:O6"/>
    <mergeCell ref="M28:O28"/>
    <mergeCell ref="H43:I43"/>
    <mergeCell ref="H44:I44"/>
    <mergeCell ref="H45:I45"/>
    <mergeCell ref="P8:Q8"/>
    <mergeCell ref="H47:I47"/>
    <mergeCell ref="H46:I46"/>
    <mergeCell ref="I38:L38"/>
    <mergeCell ref="G8:I8"/>
    <mergeCell ref="H9:I9"/>
    <mergeCell ref="J10:N10"/>
    <mergeCell ref="J9:N9"/>
    <mergeCell ref="J8:N8"/>
  </mergeCells>
  <conditionalFormatting sqref="Q30:Q35">
    <cfRule type="cellIs" priority="1" dxfId="1" operator="equal" stopIfTrue="1">
      <formula>"Unacceptable"</formula>
    </cfRule>
    <cfRule type="cellIs" priority="2" dxfId="0" operator="equal" stopIfTrue="1">
      <formula>"Acceptable"</formula>
    </cfRule>
  </conditionalFormatting>
  <pageMargins left="0.7" right="0.7" top="0.75" bottom="0.75" header="0.3" footer="0.3"/>
  <pageSetup horizontalDpi="1200" verticalDpi="1200" orientation="landscape" scale="54" r:id="rId2"/>
  <drawing r:id="rId1"/>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4</vt:i4>
      </vt:variant>
    </vt:vector>
  </HeadingPairs>
  <TitlesOfParts>
    <vt:vector size="4" baseType="lpstr">
      <vt:lpstr>Instructions </vt:lpstr>
      <vt:lpstr>Method Comparison 20 Samples</vt:lpstr>
      <vt:lpstr>Method Comparison 40 Samples</vt:lpstr>
      <vt:lpstr>Alt Method Comparison</vt:lpstr>
    </vt:vector>
  </TitlesOfParts>
  <Template/>
  <Manager/>
  <Company>JHMI Department of Pathology</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MSWARTZ4</dc:creator>
  <cp:keywords/>
  <dc:description/>
  <cp:lastModifiedBy>Kristin Murphy</cp:lastModifiedBy>
  <cp:lastPrinted>2026-05-28T14:55:05Z</cp:lastPrinted>
  <dcterms:created xsi:type="dcterms:W3CDTF">2008-10-24T19:15:46Z</dcterms:created>
  <dcterms:modified xsi:type="dcterms:W3CDTF">2026-05-28T15:23:15Z</dcterms:modified>
  <cp:category/>
</cp:coreProperties>
</file>